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и" sheetId="1" state="visible" r:id="rId1"/>
    <sheet xmlns:r="http://schemas.openxmlformats.org/officeDocument/2006/relationships" name="Запуск" sheetId="2" state="visible" r:id="rId2"/>
    <sheet xmlns:r="http://schemas.openxmlformats.org/officeDocument/2006/relationships" name="Вводные" sheetId="3" state="visible" r:id="rId3"/>
    <sheet xmlns:r="http://schemas.openxmlformats.org/officeDocument/2006/relationships" name="Продажи" sheetId="4" state="visible" r:id="rId4"/>
    <sheet xmlns:r="http://schemas.openxmlformats.org/officeDocument/2006/relationships" name="Расходы" sheetId="5" state="visible" r:id="rId5"/>
    <sheet xmlns:r="http://schemas.openxmlformats.org/officeDocument/2006/relationships" name="Прибыль" sheetId="6" state="visible" r:id="rId6"/>
    <sheet xmlns:r="http://schemas.openxmlformats.org/officeDocument/2006/relationships" name="Деньги" sheetId="7" state="visible" r:id="rId7"/>
    <sheet xmlns:r="http://schemas.openxmlformats.org/officeDocument/2006/relationships" name="Как пользоваться" sheetId="8" state="visible" r:id="rId8"/>
  </sheets>
  <definedNames>
    <definedName name="Средний_чек">'Вводные'!$B$5</definedName>
    <definedName name="Гости_старт">'Вводные'!$B$6</definedName>
    <definedName name="Рост_первые">'Вводные'!$B$7</definedName>
    <definedName name="Рост_далее">'Вводные'!$B$8</definedName>
    <definedName name="Рост_чека">'Вводные'!$B$9</definedName>
    <definedName name="Открытых_дней">'Вводные'!$B$10</definedName>
    <definedName name="Сырье">'Вводные'!$B$11</definedName>
    <definedName name="Упаковка">'Вводные'!$B$12</definedName>
    <definedName name="Списания">'Вводные'!$B$13</definedName>
    <definedName name="Эквайринг">'Вводные'!$B$14</definedName>
    <definedName name="Аренда">'Вводные'!$B$15</definedName>
    <definedName name="Бариста_шт">'Вводные'!$B$16</definedName>
    <definedName name="Бариста_оклад">'Вводные'!$B$17</definedName>
    <definedName name="Пекари_шт">'Вводные'!$B$18</definedName>
    <definedName name="Пекарь_оклад">'Вводные'!$B$19</definedName>
    <definedName name="Основатели_шт">'Вводные'!$B$20</definedName>
    <definedName name="Основатель_оклад">'Вводные'!$B$21</definedName>
    <definedName name="Ставка_взносов">'Вводные'!$B$22</definedName>
    <definedName name="Коммунальные">'Вводные'!$B$23</definedName>
    <definedName name="Прочие">'Вводные'!$B$24</definedName>
    <definedName name="Маркетинг">'Вводные'!$B$25</definedName>
    <definedName name="УСН_ставка">'Вводные'!$B$26</definedName>
    <definedName name="Вычет_лимит">'Вводные'!$B$27</definedName>
    <definedName name="Порог_НДС">'Вводные'!$B$28</definedName>
    <definedName name="Ставка_НДС">'Вводные'!$B$29</definedName>
    <definedName name="Льгота_общепит">'Вводные'!$B$30</definedName>
    <definedName name="Денежная_подушка">'Вводные'!$B$31</definedName>
    <definedName name="Сезон_01">'Вводные'!$B$41</definedName>
    <definedName name="Сезон_02">'Вводные'!$B$42</definedName>
    <definedName name="Сезон_03">'Вводные'!$B$43</definedName>
    <definedName name="Сезон_04">'Вводные'!$B$44</definedName>
    <definedName name="Сезон_05">'Вводные'!$B$45</definedName>
    <definedName name="Сезон_06">'Вводные'!$B$46</definedName>
    <definedName name="Сезон_07">'Вводные'!$B$47</definedName>
    <definedName name="Сезон_08">'Вводные'!$B$48</definedName>
    <definedName name="Сезон_09">'Вводные'!$B$49</definedName>
    <definedName name="Сезон_10">'Вводные'!$B$50</definedName>
    <definedName name="Сезон_11">'Вводные'!$B$51</definedName>
    <definedName name="Сезон_12">'Вводные'!$B$52</definedName>
    <definedName name="Ремонт">'Вводные'!$B$59</definedName>
    <definedName name="Печь_и_тестомес">'Вводные'!$B$60</definedName>
    <definedName name="Кофе_комплект">'Вводные'!$B$61</definedName>
    <definedName name="Холод_витрина">'Вводные'!$B$62</definedName>
    <definedName name="Мебель">'Вводные'!$B$63</definedName>
    <definedName name="Касса">'Вводные'!$B$64</definedName>
    <definedName name="Инвентарь">'Вводные'!$B$65</definedName>
    <definedName name="Открытие">'Вводные'!$B$66</definedName>
    <definedName name="Запас_сырья">'Вводные'!$B$67</definedName>
    <definedName name="Депозит_месяцев">'Вводные'!$B$68</definedName>
    <definedName name="Резерв_сметы">'Вводные'!$B$69</definedName>
    <definedName name="Старт_всего">'Запуск'!$B$16</definedName>
    <definedName name="Нужно_денег">'Деньги'!$L$2</definedName>
    <definedName name="_xlnm.Print_Area" localSheetId="0">'Итоги'!$A$1:$F$53</definedName>
    <definedName name="_xlnm.Print_Area" localSheetId="1">'Запуск'!$A$1:$D$19</definedName>
  </definedNames>
  <calcPr fullCalcOnLoad="1" calcId="124519"/>
</workbook>
</file>

<file path=xl/styles.xml><?xml version="1.0" encoding="utf-8"?>
<styleSheet xmlns="http://schemas.openxmlformats.org/spreadsheetml/2006/main">
  <numFmts count="6">
    <numFmt numFmtId="164" formatCode="[$-419]#,##0 &quot;₽&quot;"/>
    <numFmt numFmtId="165" formatCode="[$-419]#,##0"/>
    <numFmt numFmtId="166" formatCode="[$-419]0.0%"/>
    <numFmt numFmtId="167" formatCode="yyyy-mm-dd h:mm:ss"/>
    <numFmt numFmtId="168" formatCode="[$-419]mmmm yyyy"/>
    <numFmt numFmtId="169" formatCode="[$-419]#,##0.0"/>
  </numFmts>
  <fonts count="9">
    <font>
      <name val="Montserrat"/>
      <family val="2"/>
      <sz val="9"/>
    </font>
    <font>
      <name val="Montserrat"/>
      <b val="1"/>
      <color rgb="001F1F1F"/>
      <sz val="16"/>
    </font>
    <font>
      <name val="Montserrat"/>
      <color rgb="006B6B6B"/>
      <sz val="10"/>
    </font>
    <font>
      <name val="Montserrat"/>
      <b val="1"/>
      <color rgb="001F1F1F"/>
      <sz val="9"/>
    </font>
    <font>
      <name val="Montserrat"/>
      <color rgb="000000FF"/>
      <sz val="9"/>
    </font>
    <font>
      <name val="Montserrat"/>
      <color rgb="006B6B6B"/>
      <sz val="9"/>
    </font>
    <font>
      <name val="Montserrat"/>
      <b val="1"/>
      <color rgb="001F1F1F"/>
      <sz val="12"/>
    </font>
    <font>
      <name val="Montserrat"/>
      <b val="1"/>
      <color rgb="001F1F1F"/>
      <sz val="18"/>
    </font>
    <font>
      <name val="Montserrat"/>
      <b val="1"/>
      <color rgb="001F1F1F"/>
      <sz val="14"/>
    </font>
  </fonts>
  <fills count="4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FFF2CC"/>
        <bgColor rgb="00FFF2CC"/>
      </patternFill>
    </fill>
  </fills>
  <borders count="3">
    <border>
      <left/>
      <right/>
      <top/>
      <bottom/>
      <diagonal/>
    </border>
    <border>
      <bottom style="thin">
        <color rgb="00BFBFBF"/>
      </bottom>
    </border>
    <border>
      <top style="thin">
        <color rgb="00BFBFBF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7" fillId="0" borderId="0" applyAlignment="1" pivotButton="0" quotePrefix="0" xfId="0">
      <alignment horizontal="left"/>
    </xf>
    <xf numFmtId="168" fontId="8" fillId="0" borderId="0" applyAlignment="1" pivotButton="0" quotePrefix="0" xfId="0">
      <alignment horizontal="left"/>
    </xf>
    <xf numFmtId="0" fontId="3" fillId="2" borderId="1" pivotButton="0" quotePrefix="0" xfId="0"/>
    <xf numFmtId="0" fontId="3" fillId="2" borderId="1" applyAlignment="1" pivotButton="0" quotePrefix="0" xfId="0">
      <alignment horizontal="right"/>
    </xf>
    <xf numFmtId="168" fontId="0" fillId="0" borderId="0" pivotButton="0" quotePrefix="0" xfId="0"/>
    <xf numFmtId="164" fontId="0" fillId="0" borderId="0" pivotButton="0" quotePrefix="0" xfId="0"/>
    <xf numFmtId="0" fontId="3" fillId="0" borderId="2" pivotButton="0" quotePrefix="0" xfId="0"/>
    <xf numFmtId="164" fontId="3" fillId="0" borderId="2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164" fontId="4" fillId="3" borderId="0" pivotButton="0" quotePrefix="0" xfId="0"/>
    <xf numFmtId="0" fontId="5" fillId="0" borderId="0" applyAlignment="1" pivotButton="0" quotePrefix="0" xfId="0">
      <alignment vertical="top" wrapText="1"/>
    </xf>
    <xf numFmtId="165" fontId="4" fillId="3" borderId="0" pivotButton="0" quotePrefix="0" xfId="0"/>
    <xf numFmtId="166" fontId="4" fillId="3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9" fontId="0" fillId="0" borderId="0" pivotButton="0" quotePrefix="0" xfId="0"/>
    <xf numFmtId="168" fontId="8" fillId="0" borderId="0" applyAlignment="1" pivotButton="0" quotePrefix="0" xfId="0">
      <alignment horizontal="left"/>
    </xf>
    <xf numFmtId="164" fontId="8" fillId="0" borderId="0" applyAlignment="1" pivotButton="0" quotePrefix="0" xfId="0">
      <alignment horizontal="left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404040"/>
                </a:solidFill>
                <a:latin typeface="Montserrat"/>
                <a:cs typeface="Montserrat"/>
              </a:defRPr>
            </a:pPr>
            <a:r>
              <a:rPr sz="1100" b="1">
                <a:solidFill>
                  <a:srgbClr val="404040"/>
                </a:solidFill>
                <a:latin typeface="Montserrat"/>
                <a:cs typeface="Montserrat"/>
              </a:rPr>
              <a:t>Выручка и прибыль по месяцам, ₽</a:t>
            </a:r>
          </a:p>
        </rich>
      </tx>
      <overlay val="0"/>
    </title>
    <plotArea>
      <lineChart>
        <grouping val="standard"/>
        <ser>
          <idx val="0"/>
          <order val="0"/>
          <tx>
            <v>Выручка</v>
          </tx>
          <spPr>
            <a:ln xmlns:a="http://schemas.openxmlformats.org/drawingml/2006/main" w="28575">
              <a:solidFill>
                <a:srgbClr val="277BD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'Итоги'!$A$11:$A$22</f>
            </numRef>
          </cat>
          <val>
            <numRef>
              <f>'Итоги'!$B$11:$B$22</f>
            </numRef>
          </val>
          <smooth val="0"/>
        </ser>
        <ser>
          <idx val="1"/>
          <order val="1"/>
          <tx>
            <v>Прибыль</v>
          </tx>
          <spPr>
            <a:ln xmlns:a="http://schemas.openxmlformats.org/drawingml/2006/main" w="28575">
              <a:solidFill>
                <a:srgbClr val="E9745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'Итоги'!$A$11:$A$22</f>
            </numRef>
          </cat>
          <val>
            <numRef>
              <f>'Итоги'!$E$11:$E$22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[$-419]mmm yy" sourceLinked="0"/>
        <majorTickMark val="none"/>
        <minorTickMark val="none"/>
        <tickLblPos val="low"/>
        <spPr>
          <a:ln xmlns:a="http://schemas.openxmlformats.org/drawingml/2006/main" w="9525">
            <a:solidFill>
              <a:srgbClr val="BFBFB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7F7F7F"/>
                </a:solidFill>
                <a:latin typeface="Montserrat"/>
                <a:cs typeface="Montserrat"/>
              </a:defRPr>
            </a:pPr>
            <a:r>
              <a:t/>
            </a:r>
            <a:endParaRPr sz="900" b="0">
              <a:solidFill>
                <a:srgbClr val="7F7F7F"/>
              </a:solidFill>
              <a:latin typeface="Montserrat"/>
              <a:cs typeface="Montserrat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E3E3E3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7F7F7F"/>
                </a:solidFill>
                <a:latin typeface="Montserrat"/>
                <a:cs typeface="Montserrat"/>
              </a:defRPr>
            </a:pPr>
            <a:r>
              <a:t/>
            </a:r>
            <a:endParaRPr sz="900" b="0">
              <a:solidFill>
                <a:srgbClr val="7F7F7F"/>
              </a:solidFill>
              <a:latin typeface="Montserrat"/>
              <a:cs typeface="Montserrat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404040"/>
              </a:solidFill>
              <a:latin typeface="Montserrat"/>
              <a:cs typeface="Montserrat"/>
            </a:defRPr>
          </a:pPr>
          <a:r>
            <a:t/>
          </a:r>
          <a:endParaRPr sz="900" b="0">
            <a:solidFill>
              <a:srgbClr val="404040"/>
            </a:solidFill>
            <a:latin typeface="Montserrat"/>
            <a:cs typeface="Montserrat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404040"/>
                </a:solidFill>
                <a:latin typeface="Montserrat"/>
                <a:cs typeface="Montserrat"/>
              </a:defRPr>
            </a:pPr>
            <a:r>
              <a:rPr sz="1100" b="1">
                <a:solidFill>
                  <a:srgbClr val="404040"/>
                </a:solidFill>
                <a:latin typeface="Montserrat"/>
                <a:cs typeface="Montserrat"/>
              </a:rPr>
              <a:t>Выручка и прибыль по месяцам, ₽</a:t>
            </a:r>
          </a:p>
        </rich>
      </tx>
      <overlay val="0"/>
    </title>
    <plotArea>
      <lineChart>
        <grouping val="standard"/>
        <ser>
          <idx val="0"/>
          <order val="0"/>
          <tx>
            <v>Выручка</v>
          </tx>
          <spPr>
            <a:ln xmlns:a="http://schemas.openxmlformats.org/drawingml/2006/main" w="28575">
              <a:solidFill>
                <a:srgbClr val="277BD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'Итоги'!$A$11:$A$22</f>
            </numRef>
          </cat>
          <val>
            <numRef>
              <f>'Итоги'!$B$11:$B$22</f>
            </numRef>
          </val>
          <smooth val="0"/>
        </ser>
        <ser>
          <idx val="1"/>
          <order val="1"/>
          <tx>
            <v>Прибыль</v>
          </tx>
          <spPr>
            <a:ln xmlns:a="http://schemas.openxmlformats.org/drawingml/2006/main" w="28575">
              <a:solidFill>
                <a:srgbClr val="E9745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'Итоги'!$A$11:$A$22</f>
            </numRef>
          </cat>
          <val>
            <numRef>
              <f>'Итоги'!$E$11:$E$22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[$-419]mmm yy" sourceLinked="0"/>
        <majorTickMark val="none"/>
        <minorTickMark val="none"/>
        <tickLblPos val="low"/>
        <spPr>
          <a:ln xmlns:a="http://schemas.openxmlformats.org/drawingml/2006/main" w="9525">
            <a:solidFill>
              <a:srgbClr val="BFBFB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7F7F7F"/>
                </a:solidFill>
                <a:latin typeface="Montserrat"/>
                <a:cs typeface="Montserrat"/>
              </a:defRPr>
            </a:pPr>
            <a:r>
              <a:t/>
            </a:r>
            <a:endParaRPr sz="900" b="0">
              <a:solidFill>
                <a:srgbClr val="7F7F7F"/>
              </a:solidFill>
              <a:latin typeface="Montserrat"/>
              <a:cs typeface="Montserrat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E3E3E3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7F7F7F"/>
                </a:solidFill>
                <a:latin typeface="Montserrat"/>
                <a:cs typeface="Montserrat"/>
              </a:defRPr>
            </a:pPr>
            <a:r>
              <a:t/>
            </a:r>
            <a:endParaRPr sz="900" b="0">
              <a:solidFill>
                <a:srgbClr val="7F7F7F"/>
              </a:solidFill>
              <a:latin typeface="Montserrat"/>
              <a:cs typeface="Montserrat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404040"/>
              </a:solidFill>
              <a:latin typeface="Montserrat"/>
              <a:cs typeface="Montserrat"/>
            </a:defRPr>
          </a:pPr>
          <a:r>
            <a:t/>
          </a:r>
          <a:endParaRPr sz="900" b="0">
            <a:solidFill>
              <a:srgbClr val="404040"/>
            </a:solidFill>
            <a:latin typeface="Montserrat"/>
            <a:cs typeface="Montserrat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404040"/>
                </a:solidFill>
                <a:latin typeface="Montserrat"/>
                <a:cs typeface="Montserrat"/>
              </a:defRPr>
            </a:pPr>
            <a:r>
              <a:rPr sz="1100" b="1">
                <a:solidFill>
                  <a:srgbClr val="404040"/>
                </a:solidFill>
                <a:latin typeface="Montserrat"/>
                <a:cs typeface="Montserrat"/>
              </a:rPr>
              <a:t>Выручка и прибыль по месяцам, ₽</a:t>
            </a:r>
          </a:p>
        </rich>
      </tx>
      <overlay val="0"/>
    </title>
    <plotArea>
      <lineChart>
        <grouping val="standard"/>
        <ser>
          <idx val="0"/>
          <order val="0"/>
          <tx>
            <v>Выручка</v>
          </tx>
          <spPr>
            <a:ln xmlns:a="http://schemas.openxmlformats.org/drawingml/2006/main" w="28575">
              <a:solidFill>
                <a:srgbClr val="277BD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'Итоги'!$A$11:$A$22</f>
            </numRef>
          </cat>
          <val>
            <numRef>
              <f>'Итоги'!$B$11:$B$22</f>
            </numRef>
          </val>
          <smooth val="0"/>
        </ser>
        <ser>
          <idx val="1"/>
          <order val="1"/>
          <tx>
            <v>Прибыль</v>
          </tx>
          <spPr>
            <a:ln xmlns:a="http://schemas.openxmlformats.org/drawingml/2006/main" w="28575">
              <a:solidFill>
                <a:srgbClr val="E9745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'Итоги'!$A$11:$A$22</f>
            </numRef>
          </cat>
          <val>
            <numRef>
              <f>'Итоги'!$E$11:$E$22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[$-419]mmm yy" sourceLinked="0"/>
        <majorTickMark val="none"/>
        <minorTickMark val="none"/>
        <tickLblPos val="low"/>
        <spPr>
          <a:ln xmlns:a="http://schemas.openxmlformats.org/drawingml/2006/main" w="9525">
            <a:solidFill>
              <a:srgbClr val="BFBFB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7F7F7F"/>
                </a:solidFill>
                <a:latin typeface="Montserrat"/>
                <a:cs typeface="Montserrat"/>
              </a:defRPr>
            </a:pPr>
            <a:r>
              <a:t/>
            </a:r>
            <a:endParaRPr sz="900" b="0">
              <a:solidFill>
                <a:srgbClr val="7F7F7F"/>
              </a:solidFill>
              <a:latin typeface="Montserrat"/>
              <a:cs typeface="Montserrat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E3E3E3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7F7F7F"/>
                </a:solidFill>
                <a:latin typeface="Montserrat"/>
                <a:cs typeface="Montserrat"/>
              </a:defRPr>
            </a:pPr>
            <a:r>
              <a:t/>
            </a:r>
            <a:endParaRPr sz="900" b="0">
              <a:solidFill>
                <a:srgbClr val="7F7F7F"/>
              </a:solidFill>
              <a:latin typeface="Montserrat"/>
              <a:cs typeface="Montserrat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404040"/>
              </a:solidFill>
              <a:latin typeface="Montserrat"/>
              <a:cs typeface="Montserrat"/>
            </a:defRPr>
          </a:pPr>
          <a:r>
            <a:t/>
          </a:r>
          <a:endParaRPr sz="900" b="0">
            <a:solidFill>
              <a:srgbClr val="404040"/>
            </a:solidFill>
            <a:latin typeface="Montserrat"/>
            <a:cs typeface="Montserrat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9252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92520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24</row>
      <rowOff>0</rowOff>
    </from>
    <ext cx="9252000" cy="309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сводка" displayName="сводка" ref="A10:F22" headerRowCount="1">
  <autoFilter ref="A10:F22"/>
  <tableColumns count="6">
    <tableColumn id="1" name="Месяц"/>
    <tableColumn id="2" name="Выручка"/>
    <tableColumn id="3" name="Расходы без налогов"/>
    <tableColumn id="4" name="Налоги"/>
    <tableColumn id="5" name="Прибыль"/>
    <tableColumn id="6" name="Возврат вложений"/>
  </tableColumns>
  <tableStyleInfo name="TableStyleLight1" showRowStripes="0" showColumnStripes="0"/>
</table>
</file>

<file path=xl/tables/table2.xml><?xml version="1.0" encoding="utf-8"?>
<table xmlns="http://schemas.openxmlformats.org/spreadsheetml/2006/main" id="2" name="запуск" displayName="запуск" ref="A4:B15" headerRowCount="1">
  <autoFilter ref="A4:B15"/>
  <tableColumns count="2">
    <tableColumn id="1" name="Статья"/>
    <tableColumn id="2" name="Сумма"/>
  </tableColumns>
  <tableStyleInfo name="TableStyleLight1" showRowStripes="0" showColumnStripes="0"/>
</table>
</file>

<file path=xl/tables/table3.xml><?xml version="1.0" encoding="utf-8"?>
<table xmlns="http://schemas.openxmlformats.org/spreadsheetml/2006/main" id="3" name="продажи" displayName="продажи" ref="A4:J16" headerRowCount="1">
  <autoFilter ref="A4:J16"/>
  <tableColumns count="10">
    <tableColumn id="1" name="Месяц"/>
    <tableColumn id="2" name="Номер"/>
    <tableColumn id="3" name="Рабочие дни"/>
    <tableColumn id="4" name="Сезон"/>
    <tableColumn id="5" name="Гостей в день"/>
    <tableColumn id="6" name="Чек"/>
    <tableColumn id="7" name="Чеков"/>
    <tableColumn id="8" name="Выручка"/>
    <tableColumn id="9" name="Выручка с января"/>
    <tableColumn id="10" name="НДС начислен"/>
  </tableColumns>
  <tableStyleInfo name="TableStyleLight1" showRowStripes="0" showColumnStripes="0"/>
</table>
</file>

<file path=xl/tables/table4.xml><?xml version="1.0" encoding="utf-8"?>
<table xmlns="http://schemas.openxmlformats.org/spreadsheetml/2006/main" id="4" name="расходы" displayName="расходы" ref="A4:L16" headerRowCount="1">
  <autoFilter ref="A4:L16"/>
  <tableColumns count="12">
    <tableColumn id="1" name="Месяц"/>
    <tableColumn id="2" name="Сырьё"/>
    <tableColumn id="3" name="Упаковка"/>
    <tableColumn id="4" name="Списания"/>
    <tableColumn id="5" name="Эквайринг"/>
    <tableColumn id="6" name="Аренда"/>
    <tableColumn id="7" name="Зарплаты"/>
    <tableColumn id="8" name="Взносы"/>
    <tableColumn id="9" name="Коммунальные"/>
    <tableColumn id="10" name="Маркетинг"/>
    <tableColumn id="11" name="Прочие"/>
    <tableColumn id="12" name="Всего без налогов"/>
  </tableColumns>
  <tableStyleInfo name="TableStyleLight1" showRowStripes="0" showColumnStripes="0"/>
</table>
</file>

<file path=xl/tables/table5.xml><?xml version="1.0" encoding="utf-8"?>
<table xmlns="http://schemas.openxmlformats.org/spreadsheetml/2006/main" id="5" name="результат" displayName="результат" ref="A4:J16" headerRowCount="1">
  <autoFilter ref="A4:J16"/>
  <tableColumns count="10">
    <tableColumn id="1" name="Месяц"/>
    <tableColumn id="2" name="Выручка"/>
    <tableColumn id="3" name="Расходы"/>
    <tableColumn id="4" name="НДС"/>
    <tableColumn id="5" name="УСН начислен"/>
    <tableColumn id="6" name="Прибыль"/>
    <tableColumn id="7" name="Результат с января"/>
    <tableColumn id="8" name="Возврат вложений"/>
    <tableColumn id="9" name="Первый плюс"/>
    <tableColumn id="10" name="Окупилось"/>
  </tableColumns>
  <tableStyleInfo name="TableStyleLight1" showRowStripes="0" showColumnStripes="0"/>
</table>
</file>

<file path=xl/tables/table6.xml><?xml version="1.0" encoding="utf-8"?>
<table xmlns="http://schemas.openxmlformats.org/spreadsheetml/2006/main" id="6" name="деньги" displayName="деньги" ref="A4:I16" headerRowCount="1">
  <autoFilter ref="A4:I16"/>
  <tableColumns count="9">
    <tableColumn id="1" name="Месяц"/>
    <tableColumn id="2" name="Поступления"/>
    <tableColumn id="3" name="Расходы"/>
    <tableColumn id="4" name="УСН уплачен"/>
    <tableColumn id="5" name="НДС уплачен"/>
    <tableColumn id="6" name="Поток"/>
    <tableColumn id="7" name="Остаток на счёте"/>
    <tableColumn id="8" name="Резерв налогов"/>
    <tableColumn id="9" name="Свободные деньги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showGridLines="0" tabSelected="1" workbookViewId="0">
      <selection activeCell="A1" sqref="A1"/>
    </sheetView>
  </sheetViews>
  <sheetFormatPr baseColWidth="8" defaultRowHeight="15" outlineLevelCol="0"/>
  <cols>
    <col width="24" customWidth="1" min="1" max="1"/>
    <col width="22.4" customWidth="1" min="2" max="2"/>
    <col width="22.4" customWidth="1" min="3" max="3"/>
    <col width="22.4" customWidth="1" min="4" max="4"/>
    <col width="14" customWidth="1" min="5" max="5"/>
    <col width="19" customWidth="1" min="6" max="6"/>
  </cols>
  <sheetData>
    <row r="1" ht="26" customHeight="1">
      <c r="A1" s="1" t="inlineStr">
        <is>
          <t>Пекарня-кофейня · Казань</t>
        </is>
      </c>
    </row>
    <row r="2" ht="16" customHeight="1">
      <c r="A2" s="2" t="inlineStr">
        <is>
          <t>Январь–декабрь 2027 · оценочный сценарий, не обещание доходности</t>
        </is>
      </c>
    </row>
    <row r="3" ht="15" customHeight="1"/>
    <row r="4" ht="14" customHeight="1">
      <c r="A4" s="3" t="inlineStr">
        <is>
          <t>Выручка за год</t>
        </is>
      </c>
      <c r="B4" s="3" t="inlineStr">
        <is>
          <t>Прибыль за год</t>
        </is>
      </c>
      <c r="C4" s="3" t="inlineStr">
        <is>
          <t>До открытия</t>
        </is>
      </c>
      <c r="D4" s="3" t="inlineStr">
        <is>
          <t>Всего своих денег</t>
        </is>
      </c>
    </row>
    <row r="5" ht="28" customHeight="1">
      <c r="A5" s="4">
        <f>SUM('Продажи'!$H$5:$H$16)</f>
        <v>13177515</v>
      </c>
      <c r="B5" s="4">
        <f>SUM('Прибыль'!$F$5:$F$16)</f>
        <v>905873.73</v>
      </c>
      <c r="C5" s="4">
        <f>Старт_всего</f>
        <v>2657000</v>
      </c>
      <c r="D5" s="4">
        <f>Нужно_денег</f>
        <v>3208466.33</v>
      </c>
    </row>
    <row r="6" ht="15" customHeight="1"/>
    <row r="7" ht="14" customHeight="1">
      <c r="A7" s="3" t="inlineStr">
        <is>
          <t>Первый месяц в плюсе</t>
        </is>
      </c>
      <c r="B7" s="3" t="inlineStr">
        <is>
          <t>Возврат вложений</t>
        </is>
      </c>
      <c r="C7" s="3" t="inlineStr">
        <is>
          <t>Не вернули к декабрю</t>
        </is>
      </c>
    </row>
    <row r="8" ht="28" customHeight="1">
      <c r="A8" s="21">
        <f>IF(COUNTIF('Прибыль'!$I$5:$I$16,"&gt;0")=0,"Нет в 2027",_xlfn.MINIFS('Прибыль'!$I$5:$I$16,'Прибыль'!$I$5:$I$16,"&gt;0"))</f>
        <v>46478</v>
      </c>
      <c r="B8" s="21" t="str">
        <f>IF(COUNTIF('Прибыль'!$J$5:$J$16,"&gt;0")=0,"Не окупилось",_xlfn.MINIFS('Прибыль'!$J$5:$J$16,'Прибыль'!$J$5:$J$16,"&gt;0"))</f>
        <v>Не окупилось</v>
      </c>
      <c r="C8" s="22">
        <f>MAX(0,-INDEX('Прибыль'!$H$5:$H$16,12))</f>
        <v>1751126.27</v>
      </c>
    </row>
    <row r="9" ht="15" customHeight="1"/>
    <row r="10" ht="15" customHeight="1">
      <c r="A10" s="6" t="inlineStr">
        <is>
          <t>Месяц</t>
        </is>
      </c>
      <c r="B10" s="7" t="inlineStr">
        <is>
          <t>Выручка</t>
        </is>
      </c>
      <c r="C10" s="7" t="inlineStr">
        <is>
          <t>Расходы без налогов</t>
        </is>
      </c>
      <c r="D10" s="7" t="inlineStr">
        <is>
          <t>Налоги</t>
        </is>
      </c>
      <c r="E10" s="7" t="inlineStr">
        <is>
          <t>Прибыль</t>
        </is>
      </c>
      <c r="F10" s="7" t="inlineStr">
        <is>
          <t>Возврат вложений</t>
        </is>
      </c>
    </row>
    <row r="11" ht="15" customHeight="1">
      <c r="A11" s="8" t="n">
        <v>46388</v>
      </c>
      <c r="B11" s="9">
        <f>INDEX('Продажи'!$H$5:$H$16,MONTH($A11))</f>
        <v>785850</v>
      </c>
      <c r="C11" s="9">
        <f>INDEX('Расходы'!$L$5:$L$16,MONTH($A11))</f>
        <v>868529.8</v>
      </c>
      <c r="D11" s="9">
        <f>INDEX('Прибыль'!$E$5:$E$16,MONTH($A11))+INDEX('Прибыль'!$D$5:$D$16,MONTH($A11))</f>
        <v>23575.5</v>
      </c>
      <c r="E11" s="9">
        <f>INDEX('Прибыль'!$F$5:$F$16,MONTH($A11))</f>
        <v>-106255.3</v>
      </c>
      <c r="F11" s="9">
        <f>INDEX('Прибыль'!$H$5:$H$16,MONTH($A11))</f>
        <v>-2763255.3</v>
      </c>
    </row>
    <row r="12" ht="15" customHeight="1">
      <c r="A12" s="8" t="n">
        <v>46419</v>
      </c>
      <c r="B12" s="9">
        <f>INDEX('Продажи'!$H$5:$H$16,MONTH($A12))</f>
        <v>760032</v>
      </c>
      <c r="C12" s="9">
        <f>INDEX('Расходы'!$L$5:$L$16,MONTH($A12))</f>
        <v>858512.416</v>
      </c>
      <c r="D12" s="9">
        <f>INDEX('Прибыль'!$E$5:$E$16,MONTH($A12))+INDEX('Прибыль'!$D$5:$D$16,MONTH($A12))</f>
        <v>22800.96</v>
      </c>
      <c r="E12" s="9">
        <f>INDEX('Прибыль'!$F$5:$F$16,MONTH($A12))</f>
        <v>-121281.376</v>
      </c>
      <c r="F12" s="9">
        <f>INDEX('Прибыль'!$H$5:$H$16,MONTH($A12))</f>
        <v>-2884536.676</v>
      </c>
    </row>
    <row r="13" ht="15" customHeight="1">
      <c r="A13" s="8" t="n">
        <v>46447</v>
      </c>
      <c r="B13" s="9">
        <f>INDEX('Продажи'!$H$5:$H$16,MONTH($A13))</f>
        <v>927303</v>
      </c>
      <c r="C13" s="9">
        <f>INDEX('Расходы'!$L$5:$L$16,MONTH($A13))</f>
        <v>923413.564</v>
      </c>
      <c r="D13" s="9">
        <f>INDEX('Прибыль'!$E$5:$E$16,MONTH($A13))+INDEX('Прибыль'!$D$5:$D$16,MONTH($A13))</f>
        <v>27819.09</v>
      </c>
      <c r="E13" s="9">
        <f>INDEX('Прибыль'!$F$5:$F$16,MONTH($A13))</f>
        <v>-23929.6539999999</v>
      </c>
      <c r="F13" s="9">
        <f>INDEX('Прибыль'!$H$5:$H$16,MONTH($A13))</f>
        <v>-2908466.33</v>
      </c>
    </row>
    <row r="14" ht="15" customHeight="1">
      <c r="A14" s="8" t="n">
        <v>46478</v>
      </c>
      <c r="B14" s="9">
        <f>INDEX('Продажи'!$H$5:$H$16,MONTH($A14))</f>
        <v>978120</v>
      </c>
      <c r="C14" s="9">
        <f>INDEX('Расходы'!$L$5:$L$16,MONTH($A14))</f>
        <v>943130.56</v>
      </c>
      <c r="D14" s="9">
        <f>INDEX('Прибыль'!$E$5:$E$16,MONTH($A14))+INDEX('Прибыль'!$D$5:$D$16,MONTH($A14))</f>
        <v>29343.6</v>
      </c>
      <c r="E14" s="9">
        <f>INDEX('Прибыль'!$F$5:$F$16,MONTH($A14))</f>
        <v>5645.83999999995</v>
      </c>
      <c r="F14" s="9">
        <f>INDEX('Прибыль'!$H$5:$H$16,MONTH($A14))</f>
        <v>-2902820.49</v>
      </c>
    </row>
    <row r="15" ht="15" customHeight="1">
      <c r="A15" s="8" t="n">
        <v>46508</v>
      </c>
      <c r="B15" s="9">
        <f>INDEX('Продажи'!$H$5:$H$16,MONTH($A15))</f>
        <v>1082055</v>
      </c>
      <c r="C15" s="9">
        <f>INDEX('Расходы'!$L$5:$L$16,MONTH($A15))</f>
        <v>983457.34</v>
      </c>
      <c r="D15" s="9">
        <f>INDEX('Прибыль'!$E$5:$E$16,MONTH($A15))+INDEX('Прибыль'!$D$5:$D$16,MONTH($A15))</f>
        <v>32461.65</v>
      </c>
      <c r="E15" s="9">
        <f>INDEX('Прибыль'!$F$5:$F$16,MONTH($A15))</f>
        <v>66136.0099999999</v>
      </c>
      <c r="F15" s="9">
        <f>INDEX('Прибыль'!$H$5:$H$16,MONTH($A15))</f>
        <v>-2836684.48</v>
      </c>
    </row>
    <row r="16" ht="15" customHeight="1">
      <c r="A16" s="8" t="n">
        <v>46539</v>
      </c>
      <c r="B16" s="9">
        <f>INDEX('Продажи'!$H$5:$H$16,MONTH($A16))</f>
        <v>1013220</v>
      </c>
      <c r="C16" s="9">
        <f>INDEX('Расходы'!$L$5:$L$16,MONTH($A16))</f>
        <v>956749.36</v>
      </c>
      <c r="D16" s="9">
        <f>INDEX('Прибыль'!$E$5:$E$16,MONTH($A16))+INDEX('Прибыль'!$D$5:$D$16,MONTH($A16))</f>
        <v>30396.6</v>
      </c>
      <c r="E16" s="9">
        <f>INDEX('Прибыль'!$F$5:$F$16,MONTH($A16))</f>
        <v>26074.0399999999</v>
      </c>
      <c r="F16" s="9">
        <f>INDEX('Прибыль'!$H$5:$H$16,MONTH($A16))</f>
        <v>-2810610.44</v>
      </c>
    </row>
    <row r="17" ht="15" customHeight="1">
      <c r="A17" s="8" t="n">
        <v>46569</v>
      </c>
      <c r="B17" s="9">
        <f>INDEX('Продажи'!$H$5:$H$16,MONTH($A17))</f>
        <v>1021605</v>
      </c>
      <c r="C17" s="9">
        <f>INDEX('Расходы'!$L$5:$L$16,MONTH($A17))</f>
        <v>960002.74</v>
      </c>
      <c r="D17" s="9">
        <f>INDEX('Прибыль'!$E$5:$E$16,MONTH($A17))+INDEX('Прибыль'!$D$5:$D$16,MONTH($A17))</f>
        <v>30648.15</v>
      </c>
      <c r="E17" s="9">
        <f>INDEX('Прибыль'!$F$5:$F$16,MONTH($A17))</f>
        <v>30954.11</v>
      </c>
      <c r="F17" s="9">
        <f>INDEX('Прибыль'!$H$5:$H$16,MONTH($A17))</f>
        <v>-2779656.33</v>
      </c>
    </row>
    <row r="18" ht="15" customHeight="1">
      <c r="A18" s="8" t="n">
        <v>46600</v>
      </c>
      <c r="B18" s="9">
        <f>INDEX('Продажи'!$H$5:$H$16,MONTH($A18))</f>
        <v>1111071</v>
      </c>
      <c r="C18" s="9">
        <f>INDEX('Расходы'!$L$5:$L$16,MONTH($A18))</f>
        <v>994715.548</v>
      </c>
      <c r="D18" s="9">
        <f>INDEX('Прибыль'!$E$5:$E$16,MONTH($A18))+INDEX('Прибыль'!$D$5:$D$16,MONTH($A18))</f>
        <v>33332.13</v>
      </c>
      <c r="E18" s="9">
        <f>INDEX('Прибыль'!$F$5:$F$16,MONTH($A18))</f>
        <v>83023.322</v>
      </c>
      <c r="F18" s="9">
        <f>INDEX('Прибыль'!$H$5:$H$16,MONTH($A18))</f>
        <v>-2696633.008</v>
      </c>
    </row>
    <row r="19" ht="15" customHeight="1">
      <c r="A19" s="8" t="n">
        <v>46631</v>
      </c>
      <c r="B19" s="9">
        <f>INDEX('Продажи'!$H$5:$H$16,MONTH($A19))</f>
        <v>1258920</v>
      </c>
      <c r="C19" s="9">
        <f>INDEX('Расходы'!$L$5:$L$16,MONTH($A19))</f>
        <v>1052080.96</v>
      </c>
      <c r="D19" s="9">
        <f>INDEX('Прибыль'!$E$5:$E$16,MONTH($A19))+INDEX('Прибыль'!$D$5:$D$16,MONTH($A19))</f>
        <v>37767.6</v>
      </c>
      <c r="E19" s="9">
        <f>INDEX('Прибыль'!$F$5:$F$16,MONTH($A19))</f>
        <v>169071.44</v>
      </c>
      <c r="F19" s="9">
        <f>INDEX('Прибыль'!$H$5:$H$16,MONTH($A19))</f>
        <v>-2527561.568</v>
      </c>
    </row>
    <row r="20" ht="15" customHeight="1">
      <c r="A20" s="8" t="n">
        <v>46661</v>
      </c>
      <c r="B20" s="9">
        <f>INDEX('Продажи'!$H$5:$H$16,MONTH($A20))</f>
        <v>1364961</v>
      </c>
      <c r="C20" s="9">
        <f>INDEX('Расходы'!$L$5:$L$16,MONTH($A20))</f>
        <v>1093224.868</v>
      </c>
      <c r="D20" s="9">
        <f>INDEX('Прибыль'!$E$5:$E$16,MONTH($A20))+INDEX('Прибыль'!$D$5:$D$16,MONTH($A20))</f>
        <v>40948.83</v>
      </c>
      <c r="E20" s="9">
        <f>INDEX('Прибыль'!$F$5:$F$16,MONTH($A20))</f>
        <v>230787.302</v>
      </c>
      <c r="F20" s="9">
        <f>INDEX('Прибыль'!$H$5:$H$16,MONTH($A20))</f>
        <v>-2296774.266</v>
      </c>
    </row>
    <row r="21" ht="15" customHeight="1">
      <c r="A21" s="8" t="n">
        <v>46692</v>
      </c>
      <c r="B21" s="9">
        <f>INDEX('Продажи'!$H$5:$H$16,MONTH($A21))</f>
        <v>1360710</v>
      </c>
      <c r="C21" s="9">
        <f>INDEX('Расходы'!$L$5:$L$16,MONTH($A21))</f>
        <v>1091575.48</v>
      </c>
      <c r="D21" s="9">
        <f>INDEX('Прибыль'!$E$5:$E$16,MONTH($A21))+INDEX('Прибыль'!$D$5:$D$16,MONTH($A21))</f>
        <v>40821.3</v>
      </c>
      <c r="E21" s="9">
        <f>INDEX('Прибыль'!$F$5:$F$16,MONTH($A21))</f>
        <v>228313.22</v>
      </c>
      <c r="F21" s="9">
        <f>INDEX('Прибыль'!$H$5:$H$16,MONTH($A21))</f>
        <v>-2068461.046</v>
      </c>
    </row>
    <row r="22" ht="15" customHeight="1">
      <c r="A22" s="8" t="n">
        <v>46722</v>
      </c>
      <c r="B22" s="9">
        <f>INDEX('Продажи'!$H$5:$H$16,MONTH($A22))</f>
        <v>1513668</v>
      </c>
      <c r="C22" s="9">
        <f>INDEX('Расходы'!$L$5:$L$16,MONTH($A22))</f>
        <v>1150923.184</v>
      </c>
      <c r="D22" s="9">
        <f>INDEX('Прибыль'!$E$5:$E$16,MONTH($A22))+INDEX('Прибыль'!$D$5:$D$16,MONTH($A22))</f>
        <v>45410.04</v>
      </c>
      <c r="E22" s="9">
        <f>INDEX('Прибыль'!$F$5:$F$16,MONTH($A22))</f>
        <v>317334.776</v>
      </c>
      <c r="F22" s="9">
        <f>INDEX('Прибыль'!$H$5:$H$16,MONTH($A22))</f>
        <v>-1751126.27</v>
      </c>
    </row>
    <row r="23" ht="15" customHeight="1">
      <c r="A23" s="10" t="inlineStr">
        <is>
          <t>Итого</t>
        </is>
      </c>
      <c r="B23" s="11">
        <f>SUM(B11:B22)</f>
        <v>13177515</v>
      </c>
      <c r="C23" s="11">
        <f>SUM(C11:C22)</f>
        <v>11876315.82</v>
      </c>
      <c r="D23" s="11">
        <f>SUM(D11:D22)</f>
        <v>395325.45</v>
      </c>
      <c r="E23" s="11">
        <f>SUM(E11:E22)</f>
        <v>905873.73</v>
      </c>
      <c r="F23" s="11" t="n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20" customHeight="1">
      <c r="A43" s="12" t="inlineStr">
        <is>
          <t>Два разных «нуля»</t>
        </is>
      </c>
    </row>
    <row r="44" ht="45" customHeight="1">
      <c r="A44" s="13" t="inlineStr">
        <is>
          <t>Первый месяц в плюсе: продажи покрывают текущие расходы и начисленные налоги. Окупаемость: накопленная прибыль вернула ремонт, оборудование, депозит и стартовый запас. Вложения не вычитаются повторно из месячной прибыли. В расчёте окупаемости депозит и запас консервативно считаются связанными деньгами.</t>
        </is>
      </c>
    </row>
    <row r="45" ht="4" customHeight="1"/>
    <row r="46" ht="20" customHeight="1">
      <c r="A46" s="12" t="inlineStr">
        <is>
          <t>Сколько денег подготовить</t>
        </is>
      </c>
    </row>
    <row r="47" ht="30" customHeight="1">
      <c r="A47" s="13" t="inlineStr">
        <is>
          <t>«Всего своих денег» = бюджет до открытия + максимальный накопленный убыток после резерва налогов + дополнительная подушка. Это не дополнительный расход. Кредиты, дивиденды и возврат займа учредителям не включены.</t>
        </is>
      </c>
    </row>
    <row r="48" ht="4" customHeight="1"/>
    <row r="49" ht="14" customHeight="1">
      <c r="A49" s="3" t="inlineStr">
        <is>
          <t>Выручка в ноль, ₽/мес.</t>
        </is>
      </c>
    </row>
    <row r="50" ht="28" customHeight="1">
      <c r="A50" s="4">
        <f>(Бариста_шт*Бариста_оклад+Пекари_шт*Пекарь_оклад+Основатели_шт*Основатель_оклад)*(1+Ставка_взносов)/(1-Сырье-Упаковка-Списания-Эквайринг-УСН_ставка*(1-Вычет_лимит))+(Аренда+Коммунальные+Маркетинг+Прочие)/(1-Сырье-Упаковка-Списания-Эквайринг-УСН_ставка*(1-Вычет_лимит))</f>
        <v>968419.243986255</v>
      </c>
    </row>
    <row r="51" ht="4" customHeight="1"/>
    <row r="52" ht="20" customHeight="1">
      <c r="A52" s="12" t="inlineStr">
        <is>
          <t>О пороге выручки</t>
        </is>
      </c>
    </row>
    <row r="53" ht="30" customHeight="1">
      <c r="A53" s="13" t="inlineStr">
        <is>
          <t>Оценка при УСН 6 % с уменьшением до 3 % выручки, без НДС и при неизменных расходах. При другой налоговой ситуации ориентируйтесь на месячную прибыль.</t>
        </is>
      </c>
    </row>
  </sheetData>
  <mergeCells count="5">
    <mergeCell ref="A2:F2"/>
    <mergeCell ref="A47:F47"/>
    <mergeCell ref="A44:F44"/>
    <mergeCell ref="A1:F1"/>
    <mergeCell ref="A53:F53"/>
  </mergeCells>
  <conditionalFormatting sqref="E11:E22">
    <cfRule type="cellIs" priority="1" operator="lessThan" dxfId="0">
      <formula>0</formula>
    </cfRule>
  </conditionalFormatting>
  <pageMargins left="0.5905511811023622" right="0.5905511811023622" top="0.5905511811023622" bottom="0.5905511811023622" header="0.25" footer="0.25"/>
  <pageSetup orientation="landscape" paperSize="9" fitToHeight="0" fitToWidth="1"/>
  <headerFooter>
    <oddHeader/>
    <oddFooter>&amp;L&amp;8 &amp;K808080&amp;A&amp;R&amp;8 &amp;K808080стр. &amp;P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showGridLines="0" tabSelected="0" workbookViewId="0">
      <selection activeCell="A1" sqref="A1"/>
    </sheetView>
  </sheetViews>
  <sheetFormatPr baseColWidth="8" defaultRowHeight="15" outlineLevelCol="0"/>
  <cols>
    <col width="27" customWidth="1" min="1" max="1"/>
    <col width="14" customWidth="1" min="2" max="2"/>
    <col width="13" customWidth="1" min="3" max="3"/>
    <col width="13" customWidth="1" min="4" max="4"/>
  </cols>
  <sheetData>
    <row r="1" ht="26" customHeight="1">
      <c r="A1" s="1" t="inlineStr">
        <is>
          <t>Сколько нужно до открытия</t>
        </is>
      </c>
    </row>
    <row r="2" ht="16" customHeight="1">
      <c r="A2" s="2" t="inlineStr">
        <is>
          <t>Стартовые затраты отдельно от ежемесячной прибыли</t>
        </is>
      </c>
    </row>
    <row r="3" ht="15" customHeight="1"/>
    <row r="4" ht="15" customHeight="1">
      <c r="A4" s="6" t="inlineStr">
        <is>
          <t>Статья</t>
        </is>
      </c>
      <c r="B4" s="7" t="inlineStr">
        <is>
          <t>Сумма</t>
        </is>
      </c>
    </row>
    <row r="5" ht="15" customHeight="1">
      <c r="A5" t="inlineStr">
        <is>
          <t>Ремонт и коммуникации</t>
        </is>
      </c>
      <c r="B5" s="9">
        <f>Ремонт</f>
        <v>650000</v>
      </c>
    </row>
    <row r="6" ht="15" customHeight="1">
      <c r="A6" t="inlineStr">
        <is>
          <t>Печь, расстойка, тестомес</t>
        </is>
      </c>
      <c r="B6" s="9">
        <f>Печь_и_тестомес</f>
        <v>600000</v>
      </c>
    </row>
    <row r="7" ht="15" customHeight="1">
      <c r="A7" t="inlineStr">
        <is>
          <t>Кофейное оборудование</t>
        </is>
      </c>
      <c r="B7" s="9">
        <f>Кофе_комплект</f>
        <v>400000</v>
      </c>
    </row>
    <row r="8" ht="15" customHeight="1">
      <c r="A8" t="inlineStr">
        <is>
          <t>Холод и витрина</t>
        </is>
      </c>
      <c r="B8" s="9">
        <f>Холод_витрина</f>
        <v>200000</v>
      </c>
    </row>
    <row r="9" ht="15" customHeight="1">
      <c r="A9" t="inlineStr">
        <is>
          <t>Мебель</t>
        </is>
      </c>
      <c r="B9" s="9">
        <f>Мебель</f>
        <v>150000</v>
      </c>
    </row>
    <row r="10" ht="15" customHeight="1">
      <c r="A10" t="inlineStr">
        <is>
          <t>Касса и ПО</t>
        </is>
      </c>
      <c r="B10" s="9">
        <f>Касса</f>
        <v>70000</v>
      </c>
    </row>
    <row r="11" ht="15" customHeight="1">
      <c r="A11" t="inlineStr">
        <is>
          <t>Инвентарь</t>
        </is>
      </c>
      <c r="B11" s="9">
        <f>Инвентарь</f>
        <v>60000</v>
      </c>
    </row>
    <row r="12" ht="15" customHeight="1">
      <c r="A12" t="inlineStr">
        <is>
          <t>Открытие и оформление</t>
        </is>
      </c>
      <c r="B12" s="9">
        <f>Открытие</f>
        <v>50000</v>
      </c>
    </row>
    <row r="13" ht="15" customHeight="1">
      <c r="A13" t="inlineStr">
        <is>
          <t>Резерв сметы</t>
        </is>
      </c>
      <c r="B13" s="9">
        <f>(Ремонт+Печь_и_тестомес+Кофе_комплект+Холод_витрина+Мебель+Касса+Инвентарь+Открытие)*Резерв_сметы</f>
        <v>327000</v>
      </c>
    </row>
    <row r="14" ht="15" customHeight="1">
      <c r="A14" t="inlineStr">
        <is>
          <t>Возвратный депозит</t>
        </is>
      </c>
      <c r="B14" s="9">
        <f>Аренда*Депозит_месяцев</f>
        <v>90000</v>
      </c>
    </row>
    <row r="15" ht="15" customHeight="1">
      <c r="A15" t="inlineStr">
        <is>
          <t>Стартовый запас</t>
        </is>
      </c>
      <c r="B15" s="9">
        <f>Запас_сырья</f>
        <v>60000</v>
      </c>
    </row>
    <row r="16" ht="15" customHeight="1">
      <c r="A16" s="10" t="inlineStr">
        <is>
          <t>Итого</t>
        </is>
      </c>
      <c r="B16" s="11">
        <f>SUM(B5:B15)</f>
        <v>2657000</v>
      </c>
    </row>
    <row r="17" ht="15" customHeight="1"/>
    <row r="18" ht="20" customHeight="1">
      <c r="A18" s="12" t="inlineStr">
        <is>
          <t>Что проверить до аренды</t>
        </is>
      </c>
    </row>
    <row r="19" ht="45" customHeight="1">
      <c r="A19" s="13" t="inlineStr">
        <is>
          <t>Выделенная электрическая мощность, вентиляция, вода, канализация, возможность общепита, требования к помещению и стоимость переделок. Стартовая смета не заменяет осмотр технологом.</t>
        </is>
      </c>
    </row>
  </sheetData>
  <mergeCells count="3">
    <mergeCell ref="A1:D1"/>
    <mergeCell ref="A19:D19"/>
    <mergeCell ref="A2:D2"/>
  </mergeCells>
  <pageMargins left="0.5905511811023622" right="0.5905511811023622" top="0.5905511811023622" bottom="0.5905511811023622" header="0.25" footer="0.25"/>
  <pageSetup orientation="landscape" paperSize="9" fitToHeight="0" fitToWidth="1"/>
  <headerFooter>
    <oddHeader/>
    <oddFooter>&amp;L&amp;8 &amp;K808080&amp;A&amp;R&amp;8 &amp;K808080стр.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"/>
  <sheetViews>
    <sheetView showGridLines="0" tabSelected="0"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60" customWidth="1" min="3" max="3"/>
    <col width="13" customWidth="1" min="4" max="4"/>
  </cols>
  <sheetData>
    <row r="1" ht="26" customHeight="1">
      <c r="A1" s="1" t="inlineStr">
        <is>
          <t>Все исходные цифры</t>
        </is>
      </c>
    </row>
    <row r="2" ht="16" customHeight="1">
      <c r="A2" s="2" t="inlineStr">
        <is>
          <t>Меняйте синие значения на жёлтом фоне. Денежные суммы в рублях.</t>
        </is>
      </c>
    </row>
    <row r="3"/>
    <row r="4" ht="15" customHeight="1">
      <c r="A4" s="6" t="inlineStr">
        <is>
          <t>Параметр</t>
        </is>
      </c>
      <c r="B4" s="6" t="inlineStr">
        <is>
          <t>Значение</t>
        </is>
      </c>
      <c r="C4" s="6" t="inlineStr">
        <is>
          <t>Пояснение и источник</t>
        </is>
      </c>
    </row>
    <row r="5" ht="15" customHeight="1">
      <c r="A5" t="inlineStr">
        <is>
          <t>Средний чек</t>
        </is>
      </c>
      <c r="B5" s="14" t="n">
        <v>390</v>
      </c>
      <c r="C5" s="15" t="inlineStr">
        <is>
          <t>Допущение: напиток и выпечка, цена для гостя, включая возможный НДС.</t>
        </is>
      </c>
    </row>
    <row r="6" ht="15" customHeight="1">
      <c r="A6" t="inlineStr">
        <is>
          <t>Гости старт</t>
        </is>
      </c>
      <c r="B6" s="16" t="n">
        <v>65</v>
      </c>
      <c r="C6" s="15" t="inlineStr">
        <is>
          <t>Допущение: оплаченных чеков в день в январе, а не уникальных людей.</t>
        </is>
      </c>
    </row>
    <row r="7" ht="15" customHeight="1">
      <c r="A7" t="inlineStr">
        <is>
          <t>Рост первые</t>
        </is>
      </c>
      <c r="B7" s="17" t="n">
        <v>0.07000000000000001</v>
      </c>
      <c r="C7" s="15" t="inlineStr">
        <is>
          <t>Допущение: рост базы гостей февраль–июнь, без сезонности.</t>
        </is>
      </c>
    </row>
    <row r="8" ht="15" customHeight="1">
      <c r="A8" t="inlineStr">
        <is>
          <t>Рост далее</t>
        </is>
      </c>
      <c r="B8" s="17" t="n">
        <v>0.03</v>
      </c>
      <c r="C8" s="15" t="inlineStr">
        <is>
          <t>Допущение: рост базы гостей июль–декабрь.</t>
        </is>
      </c>
    </row>
    <row r="9" ht="15" customHeight="1">
      <c r="A9" t="inlineStr">
        <is>
          <t>Рост чека</t>
        </is>
      </c>
      <c r="B9" s="17" t="n">
        <v>0</v>
      </c>
      <c r="C9" s="15" t="inlineStr">
        <is>
          <t>Допущение: ежемесячная индексация цен, в базе отсутствует.</t>
        </is>
      </c>
    </row>
    <row r="10" ht="15" customHeight="1">
      <c r="A10" t="inlineStr">
        <is>
          <t>Открытых дней</t>
        </is>
      </c>
      <c r="B10" s="17" t="n">
        <v>1</v>
      </c>
      <c r="C10" s="15" t="inlineStr">
        <is>
          <t>Доля календарных дней работы; 100 % — без выходных.</t>
        </is>
      </c>
    </row>
    <row r="11" ht="30" customHeight="1">
      <c r="A11" t="inlineStr">
        <is>
          <t>Сырье</t>
        </is>
      </c>
      <c r="B11" s="17" t="n">
        <v>0.32</v>
      </c>
      <c r="C11" s="15" t="inlineStr">
        <is>
          <t>Допущение: продукты и кофе от кассовой выручки; цены поставщиков с налогами.</t>
        </is>
      </c>
    </row>
    <row r="12" ht="15" customHeight="1">
      <c r="A12" t="inlineStr">
        <is>
          <t>Упаковка</t>
        </is>
      </c>
      <c r="B12" s="17" t="n">
        <v>0.03</v>
      </c>
      <c r="C12" s="15" t="inlineStr">
        <is>
          <t>Допущение: от кассовой выручки.</t>
        </is>
      </c>
    </row>
    <row r="13" ht="15" customHeight="1">
      <c r="A13" t="inlineStr">
        <is>
          <t>Списания</t>
        </is>
      </c>
      <c r="B13" s="17" t="n">
        <v>0.02</v>
      </c>
      <c r="C13" s="15" t="inlineStr">
        <is>
          <t>Дополнительная потеря сырья сверх 32 %, доля кассовой выручки.</t>
        </is>
      </c>
    </row>
    <row r="14" ht="15" customHeight="1">
      <c r="A14" t="inlineStr">
        <is>
          <t>Эквайринг</t>
        </is>
      </c>
      <c r="B14" s="17" t="n">
        <v>0.018</v>
      </c>
      <c r="C14" s="15" t="inlineStr">
        <is>
          <t>Средняя комиссия от всей выручки с учётом наличных и СБП.</t>
        </is>
      </c>
    </row>
    <row r="15" ht="15" customHeight="1">
      <c r="A15" t="inlineStr">
        <is>
          <t>Аренда</t>
        </is>
      </c>
      <c r="B15" s="14" t="n">
        <v>90000</v>
      </c>
      <c r="C15" s="15" t="inlineStr">
        <is>
          <t>Ориентир: 60 м² × 1 500 ₽/м²; объявление Авито, см. справку.</t>
        </is>
      </c>
    </row>
    <row r="16" ht="15" customHeight="1">
      <c r="A16" t="inlineStr">
        <is>
          <t>Бариста шт</t>
        </is>
      </c>
      <c r="B16" s="16" t="n">
        <v>2</v>
      </c>
      <c r="C16" s="15" t="inlineStr">
        <is>
          <t>Смены 2/2, по одному бариста в смене.</t>
        </is>
      </c>
    </row>
    <row r="17" ht="15" customHeight="1">
      <c r="A17" t="inlineStr">
        <is>
          <t>Бариста оклад</t>
        </is>
      </c>
      <c r="B17" s="14" t="n">
        <v>55000</v>
      </c>
      <c r="C17" s="15" t="inlineStr">
        <is>
          <t>Допущение: начисленная зарплата до НДФЛ на человека.</t>
        </is>
      </c>
    </row>
    <row r="18" ht="15" customHeight="1">
      <c r="A18" t="inlineStr">
        <is>
          <t>Пекари шт</t>
        </is>
      </c>
      <c r="B18" s="16" t="n">
        <v>2</v>
      </c>
      <c r="C18" s="15" t="inlineStr">
        <is>
          <t>По одному пекарю в смене; небольшой ассортимент, часть полуфабрикатов.</t>
        </is>
      </c>
    </row>
    <row r="19" ht="30" customHeight="1">
      <c r="A19" t="inlineStr">
        <is>
          <t>Пекарь оклад</t>
        </is>
      </c>
      <c r="B19" s="14" t="n">
        <v>65000</v>
      </c>
      <c r="C19" s="15" t="inlineStr">
        <is>
          <t>Ориентир вакансий HH: 62 500–66 500 ₽ до налогов; допущение для старта.</t>
        </is>
      </c>
    </row>
    <row r="20" ht="30" customHeight="1">
      <c r="A20" t="inlineStr">
        <is>
          <t>Основатели шт</t>
        </is>
      </c>
      <c r="B20" s="16" t="n">
        <v>2</v>
      </c>
      <c r="C20" s="15" t="inlineStr">
        <is>
          <t>Обе работают: управление, закупки, подмены, уборка; отдельного управляющего нет.</t>
        </is>
      </c>
    </row>
    <row r="21" ht="30" customHeight="1">
      <c r="A21" t="inlineStr">
        <is>
          <t>Основатель оклад</t>
        </is>
      </c>
      <c r="B21" s="14" t="n">
        <v>35000</v>
      </c>
      <c r="C21" s="15" t="inlineStr">
        <is>
          <t>Начисленная зарплата каждой, не дивиденды; база — ООО с двумя участницами.</t>
        </is>
      </c>
    </row>
    <row r="22" ht="15" customHeight="1">
      <c r="A22" t="inlineStr">
        <is>
          <t>Ставка взносов</t>
        </is>
      </c>
      <c r="B22" s="17" t="n">
        <v>0.302</v>
      </c>
      <c r="C22" s="15" t="inlineStr">
        <is>
          <t>Плановый консервативный тариф 30 % + 0,2 % травматизм, без льгот МСП.</t>
        </is>
      </c>
    </row>
    <row r="23" ht="15" customHeight="1">
      <c r="A23" t="inlineStr">
        <is>
          <t>Коммунальные</t>
        </is>
      </c>
      <c r="B23" s="14" t="n">
        <v>30000</v>
      </c>
      <c r="C23" s="15" t="inlineStr">
        <is>
          <t>Допущение: электричество печей, вода, отопление.</t>
        </is>
      </c>
    </row>
    <row r="24" ht="30" customHeight="1">
      <c r="A24" t="inlineStr">
        <is>
          <t>Прочие</t>
        </is>
      </c>
      <c r="B24" s="14" t="n">
        <v>25000</v>
      </c>
      <c r="C24" s="15" t="inlineStr">
        <is>
          <t>Допущение: бухгалтерия, ОФД, интернет, вывоз, дезинсекция, уборочные средства и мелкий ремонт.</t>
        </is>
      </c>
    </row>
    <row r="25" ht="15" customHeight="1">
      <c r="A25" t="inlineStr">
        <is>
          <t>Маркетинг</t>
        </is>
      </c>
      <c r="B25" s="14" t="n">
        <v>15000</v>
      </c>
      <c r="C25" s="15" t="inlineStr">
        <is>
          <t>Ежемесячное продвижение; открытие учтено отдельно.</t>
        </is>
      </c>
    </row>
    <row r="26" ht="30" customHeight="1">
      <c r="A26" t="inlineStr">
        <is>
          <t>УСН ставка</t>
        </is>
      </c>
      <c r="B26" s="17" t="n">
        <v>0.06</v>
      </c>
      <c r="C26" s="15" t="inlineStr">
        <is>
          <t>УСН «Доходы» 6 %, не региональная льгота; подтвердить перед регистрацией.</t>
        </is>
      </c>
    </row>
    <row r="27" ht="30" customHeight="1">
      <c r="A27" t="inlineStr">
        <is>
          <t>Вычет лимит</t>
        </is>
      </c>
      <c r="B27" s="17" t="n">
        <v>0.5</v>
      </c>
      <c r="C27" s="15" t="inlineStr">
        <is>
          <t>Максимальное уменьшение УСН на уплаченные взносы при сотрудниках — 50 %.</t>
        </is>
      </c>
    </row>
    <row r="28" ht="30" customHeight="1">
      <c r="A28" t="inlineStr">
        <is>
          <t>Порог НДС</t>
        </is>
      </c>
      <c r="B28" s="14" t="n">
        <v>15000000</v>
      </c>
      <c r="C28" s="15" t="inlineStr">
        <is>
          <t>ФНС: порог освобождения в 2027 году. Новое ООО без прошлогодней выручки.</t>
        </is>
      </c>
    </row>
    <row r="29" ht="30" customHeight="1">
      <c r="A29" t="inlineStr">
        <is>
          <t>Ставка НДС</t>
        </is>
      </c>
      <c r="B29" s="17" t="n">
        <v>0.05</v>
      </c>
      <c r="C29" s="15" t="inlineStr">
        <is>
          <t>Консервативно 5 % внутри цены с месяца после превышения; вычет входного НДС не применяется.</t>
        </is>
      </c>
    </row>
    <row r="30" ht="30" customHeight="1">
      <c r="A30" t="inlineStr">
        <is>
          <t>Льгота общепит</t>
        </is>
      </c>
      <c r="B30" s="16" t="n">
        <v>0</v>
      </c>
      <c r="C30" s="15" t="inlineStr">
        <is>
          <t>0 — льгота не подтверждена; 1 — бухгалтер подтвердил полное отраслевое освобождение от НДС.</t>
        </is>
      </c>
    </row>
    <row r="31" ht="30" customHeight="1">
      <c r="A31" t="inlineStr">
        <is>
          <t>Денежная подушка</t>
        </is>
      </c>
      <c r="B31" s="14" t="n">
        <v>300000</v>
      </c>
      <c r="C31" s="15" t="inlineStr">
        <is>
          <t>Дополнительный свободный запас сверх покрытия убытков и налоговых резервов.</t>
        </is>
      </c>
    </row>
    <row r="32"/>
    <row r="33" ht="20" customHeight="1">
      <c r="A33" s="12" t="inlineStr">
        <is>
          <t>Что здесь является оценкой</t>
        </is>
      </c>
    </row>
    <row r="34" ht="45" customHeight="1">
      <c r="A34" s="13" t="inlineStr">
        <is>
          <t>Цены и посещаемость — рабочие допущения, а не среднерыночная статистика. Зарплаты начисленные: НДФЛ удерживается из них и не прибавляется повторно. Зарплаты и взносы в управленческом бюджете оплачиваются в том же месяце. Фактические сроки перечислений бухгалтер уточнит отдельно.</t>
        </is>
      </c>
    </row>
    <row r="35"/>
    <row r="36"/>
    <row r="37" ht="20" customHeight="1">
      <c r="A37" s="12" t="inlineStr">
        <is>
          <t>Сезонность</t>
        </is>
      </c>
    </row>
    <row r="38" ht="30" customHeight="1">
      <c r="A38" s="13" t="inlineStr">
        <is>
          <t>Коэффициент умножается на растущую базу гостей. 1 — обычный месяц, 0,9 — на 10 % ниже. Январская база уже учитывает старт.</t>
        </is>
      </c>
    </row>
    <row r="39"/>
    <row r="40" ht="15" customHeight="1">
      <c r="A40" s="6" t="inlineStr">
        <is>
          <t>Параметр</t>
        </is>
      </c>
      <c r="B40" s="6" t="inlineStr">
        <is>
          <t>Значение</t>
        </is>
      </c>
      <c r="C40" s="6" t="inlineStr">
        <is>
          <t>Пояснение и источник</t>
        </is>
      </c>
    </row>
    <row r="41" ht="15" customHeight="1">
      <c r="A41" t="inlineStr">
        <is>
          <t>Сезон 01</t>
        </is>
      </c>
      <c r="B41" s="17" t="n">
        <v>1</v>
      </c>
      <c r="C41" s="15" t="inlineStr">
        <is>
          <t>Допущение: сезонный коэффициент, не процент роста.</t>
        </is>
      </c>
    </row>
    <row r="42" ht="15" customHeight="1">
      <c r="A42" t="inlineStr">
        <is>
          <t>Сезон 02</t>
        </is>
      </c>
      <c r="B42" s="17" t="n">
        <v>1</v>
      </c>
      <c r="C42" s="15" t="inlineStr">
        <is>
          <t>Допущение: сезонный коэффициент, не процент роста.</t>
        </is>
      </c>
    </row>
    <row r="43" ht="15" customHeight="1">
      <c r="A43" t="inlineStr">
        <is>
          <t>Сезон 03</t>
        </is>
      </c>
      <c r="B43" s="17" t="n">
        <v>1.03</v>
      </c>
      <c r="C43" s="15" t="inlineStr">
        <is>
          <t>Допущение: сезонный коэффициент, не процент роста.</t>
        </is>
      </c>
    </row>
    <row r="44" ht="15" customHeight="1">
      <c r="A44" t="inlineStr">
        <is>
          <t>Сезон 04</t>
        </is>
      </c>
      <c r="B44" s="17" t="n">
        <v>1.05</v>
      </c>
      <c r="C44" s="15" t="inlineStr">
        <is>
          <t>Допущение: сезонный коэффициент, не процент роста.</t>
        </is>
      </c>
    </row>
    <row r="45" ht="15" customHeight="1">
      <c r="A45" t="inlineStr">
        <is>
          <t>Сезон 05</t>
        </is>
      </c>
      <c r="B45" s="17" t="n">
        <v>1.05</v>
      </c>
      <c r="C45" s="15" t="inlineStr">
        <is>
          <t>Допущение: сезонный коэффициент, не процент роста.</t>
        </is>
      </c>
    </row>
    <row r="46" ht="15" customHeight="1">
      <c r="A46" t="inlineStr">
        <is>
          <t>Сезон 06</t>
        </is>
      </c>
      <c r="B46" s="17" t="n">
        <v>0.95</v>
      </c>
      <c r="C46" s="15" t="inlineStr">
        <is>
          <t>Допущение: сезонный коэффициент, не процент роста.</t>
        </is>
      </c>
    </row>
    <row r="47" ht="15" customHeight="1">
      <c r="A47" t="inlineStr">
        <is>
          <t>Сезон 07</t>
        </is>
      </c>
      <c r="B47" s="17" t="n">
        <v>0.9</v>
      </c>
      <c r="C47" s="15" t="inlineStr">
        <is>
          <t>Допущение: сезонный коэффициент, не процент роста.</t>
        </is>
      </c>
    </row>
    <row r="48" ht="15" customHeight="1">
      <c r="A48" t="inlineStr">
        <is>
          <t>Сезон 08</t>
        </is>
      </c>
      <c r="B48" s="17" t="n">
        <v>0.95</v>
      </c>
      <c r="C48" s="15" t="inlineStr">
        <is>
          <t>Допущение: сезонный коэффициент, не процент роста.</t>
        </is>
      </c>
    </row>
    <row r="49" ht="15" customHeight="1">
      <c r="A49" t="inlineStr">
        <is>
          <t>Сезон 09</t>
        </is>
      </c>
      <c r="B49" s="17" t="n">
        <v>1.08</v>
      </c>
      <c r="C49" s="15" t="inlineStr">
        <is>
          <t>Допущение: сезонный коэффициент, не процент роста.</t>
        </is>
      </c>
    </row>
    <row r="50" ht="15" customHeight="1">
      <c r="A50" t="inlineStr">
        <is>
          <t>Сезон 10</t>
        </is>
      </c>
      <c r="B50" s="17" t="n">
        <v>1.1</v>
      </c>
      <c r="C50" s="15" t="inlineStr">
        <is>
          <t>Допущение: сезонный коэффициент, не процент роста.</t>
        </is>
      </c>
    </row>
    <row r="51" ht="15" customHeight="1">
      <c r="A51" t="inlineStr">
        <is>
          <t>Сезон 11</t>
        </is>
      </c>
      <c r="B51" s="17" t="n">
        <v>1.1</v>
      </c>
      <c r="C51" s="15" t="inlineStr">
        <is>
          <t>Допущение: сезонный коэффициент, не процент роста.</t>
        </is>
      </c>
    </row>
    <row r="52" ht="15" customHeight="1">
      <c r="A52" t="inlineStr">
        <is>
          <t>Сезон 12</t>
        </is>
      </c>
      <c r="B52" s="17" t="n">
        <v>1.15</v>
      </c>
      <c r="C52" s="15" t="inlineStr">
        <is>
          <t>Допущение: сезонный коэффициент, не процент роста.</t>
        </is>
      </c>
    </row>
    <row r="53"/>
    <row r="54"/>
    <row r="55" ht="20" customHeight="1">
      <c r="A55" s="12" t="inlineStr">
        <is>
          <t>Бюджет до открытия</t>
        </is>
      </c>
    </row>
    <row r="56" ht="15" customHeight="1">
      <c r="A56" s="13" t="inlineStr">
        <is>
          <t>Вложения до января 2027 года; аренда за январь остаётся в ежемесячных расходах.</t>
        </is>
      </c>
    </row>
    <row r="57"/>
    <row r="58" ht="15" customHeight="1">
      <c r="A58" s="6" t="inlineStr">
        <is>
          <t>Параметр</t>
        </is>
      </c>
      <c r="B58" s="6" t="inlineStr">
        <is>
          <t>Значение</t>
        </is>
      </c>
      <c r="C58" s="6" t="inlineStr">
        <is>
          <t>Пояснение и источник</t>
        </is>
      </c>
    </row>
    <row r="59" ht="30" customHeight="1">
      <c r="A59" t="inlineStr">
        <is>
          <t>Ремонт</t>
        </is>
      </c>
      <c r="B59" s="14" t="n">
        <v>650000</v>
      </c>
      <c r="C59" s="15" t="inlineStr">
        <is>
          <t>Отделка, вентиляция, электрика и вода; проверить мощность и требования до договора.</t>
        </is>
      </c>
    </row>
    <row r="60" ht="15" customHeight="1">
      <c r="A60" t="inlineStr">
        <is>
          <t>Печь и тестомес</t>
        </is>
      </c>
      <c r="B60" s="14" t="n">
        <v>600000</v>
      </c>
      <c r="C60" s="15" t="inlineStr">
        <is>
          <t>Компактная печь, расстойка, тестомес; оценка, возможно частично б/у.</t>
        </is>
      </c>
    </row>
    <row r="61" ht="15" customHeight="1">
      <c r="A61" t="inlineStr">
        <is>
          <t>Кофе комплект</t>
        </is>
      </c>
      <c r="B61" s="14" t="n">
        <v>400000</v>
      </c>
      <c r="C61" s="15" t="inlineStr">
        <is>
          <t>Кофемашина, кофемолка и водоподготовка; не аренда оборудования.</t>
        </is>
      </c>
    </row>
    <row r="62" ht="15" customHeight="1">
      <c r="A62" t="inlineStr">
        <is>
          <t>Холод витрина</t>
        </is>
      </c>
      <c r="B62" s="14" t="n">
        <v>200000</v>
      </c>
      <c r="C62" s="15" t="inlineStr">
        <is>
          <t>Холодильник, морозильник и витрина.</t>
        </is>
      </c>
    </row>
    <row r="63" ht="15" customHeight="1">
      <c r="A63" t="inlineStr">
        <is>
          <t>Мебель</t>
        </is>
      </c>
      <c r="B63" s="14" t="n">
        <v>150000</v>
      </c>
      <c r="C63" s="15" t="inlineStr">
        <is>
          <t>Столы, стулья, стеллажи и стойка.</t>
        </is>
      </c>
    </row>
    <row r="64" ht="15" customHeight="1">
      <c r="A64" t="inlineStr">
        <is>
          <t>Касса</t>
        </is>
      </c>
      <c r="B64" s="14" t="n">
        <v>70000</v>
      </c>
      <c r="C64" s="15" t="inlineStr">
        <is>
          <t>Касса, терминал, ПО и подключение.</t>
        </is>
      </c>
    </row>
    <row r="65" ht="15" customHeight="1">
      <c r="A65" t="inlineStr">
        <is>
          <t>Инвентарь</t>
        </is>
      </c>
      <c r="B65" s="14" t="n">
        <v>60000</v>
      </c>
      <c r="C65" s="15" t="inlineStr">
        <is>
          <t>Посуда, формы, противни и мелкий инструмент.</t>
        </is>
      </c>
    </row>
    <row r="66" ht="15" customHeight="1">
      <c r="A66" t="inlineStr">
        <is>
          <t>Открытие</t>
        </is>
      </c>
      <c r="B66" s="14" t="n">
        <v>50000</v>
      </c>
      <c r="C66" s="15" t="inlineStr">
        <is>
          <t>Регистрация, медкнижки, вывеска и реклама открытия; оценка.</t>
        </is>
      </c>
    </row>
    <row r="67" ht="30" customHeight="1">
      <c r="A67" t="inlineStr">
        <is>
          <t>Запас сырья</t>
        </is>
      </c>
      <c r="B67" s="14" t="n">
        <v>60000</v>
      </c>
      <c r="C67" s="15" t="inlineStr">
        <is>
          <t>Неснижаемый остаток сырья и упаковки: оборотный капитал, не повторный расход.</t>
        </is>
      </c>
    </row>
    <row r="68" ht="30" customHeight="1">
      <c r="A68" t="inlineStr">
        <is>
          <t>Депозит месяцев</t>
        </is>
      </c>
      <c r="B68" s="16" t="n">
        <v>1</v>
      </c>
      <c r="C68" s="15" t="inlineStr">
        <is>
          <t>Возвратный обеспечительный платёж, не расход; возврат в горизонте не заложен.</t>
        </is>
      </c>
    </row>
    <row r="69" ht="15" customHeight="1">
      <c r="A69" t="inlineStr">
        <is>
          <t>Резерв сметы</t>
        </is>
      </c>
      <c r="B69" s="17" t="n">
        <v>0.15</v>
      </c>
      <c r="C69" s="15" t="inlineStr">
        <is>
          <t>Запас на превышение сметы ремонта и оборудования.</t>
        </is>
      </c>
    </row>
  </sheetData>
  <mergeCells count="5">
    <mergeCell ref="A1:D1"/>
    <mergeCell ref="A56:D56"/>
    <mergeCell ref="A34:D34"/>
    <mergeCell ref="A38:D38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tabSelected="0" workbookViewId="0">
      <selection activeCell="A1" sqref="A1"/>
    </sheetView>
  </sheetViews>
  <sheetFormatPr baseColWidth="8" defaultRowHeight="15" outlineLevelCol="0"/>
  <cols>
    <col width="16" customWidth="1" min="1" max="1"/>
    <col width="10" customWidth="1" min="2" max="2"/>
    <col width="14" customWidth="1" min="3" max="3"/>
    <col width="10" customWidth="1" min="4" max="4"/>
    <col width="16" customWidth="1" min="5" max="5"/>
    <col width="14" customWidth="1" min="6" max="6"/>
    <col width="10" customWidth="1" min="7" max="7"/>
    <col width="14" customWidth="1" min="8" max="8"/>
    <col width="19" customWidth="1" min="9" max="9"/>
    <col width="15" customWidth="1" min="10" max="10"/>
  </cols>
  <sheetData>
    <row r="1" ht="26" customHeight="1">
      <c r="A1" s="1" t="inlineStr">
        <is>
          <t>Продажи по месяцам</t>
        </is>
      </c>
    </row>
    <row r="2" ht="16" customHeight="1">
      <c r="A2" s="2" t="inlineStr">
        <is>
          <t>Гость в модели — один оплаченный чек. Сезонность меняется на листе «Вводные».</t>
        </is>
      </c>
    </row>
    <row r="3"/>
    <row r="4">
      <c r="A4" s="6" t="inlineStr">
        <is>
          <t>Месяц</t>
        </is>
      </c>
      <c r="B4" s="7" t="inlineStr">
        <is>
          <t>Номер</t>
        </is>
      </c>
      <c r="C4" s="7" t="inlineStr">
        <is>
          <t>Рабочие дни</t>
        </is>
      </c>
      <c r="D4" s="7" t="inlineStr">
        <is>
          <t>Сезон</t>
        </is>
      </c>
      <c r="E4" s="7" t="inlineStr">
        <is>
          <t>Гостей в день</t>
        </is>
      </c>
      <c r="F4" s="7" t="inlineStr">
        <is>
          <t>Чек</t>
        </is>
      </c>
      <c r="G4" s="7" t="inlineStr">
        <is>
          <t>Чеков</t>
        </is>
      </c>
      <c r="H4" s="7" t="inlineStr">
        <is>
          <t>Выручка</t>
        </is>
      </c>
      <c r="I4" s="7" t="inlineStr">
        <is>
          <t>Выручка с января</t>
        </is>
      </c>
      <c r="J4" s="7" t="inlineStr">
        <is>
          <t>НДС начислен</t>
        </is>
      </c>
    </row>
    <row r="5">
      <c r="A5" s="8" t="n">
        <v>46388</v>
      </c>
      <c r="B5" s="18">
        <f>MONTH($A5)</f>
        <v>1</v>
      </c>
      <c r="C5" s="18">
        <f>ROUND(DAY(DATE(YEAR($A5),MONTH($A5)+1,0))*Открытых_дней,0)</f>
        <v>31</v>
      </c>
      <c r="D5" s="19">
        <f>Сезон_01</f>
        <v>1</v>
      </c>
      <c r="E5" s="20">
        <f>ROUND(Гости_старт*(1+Рост_первые)^MIN(B5-1,5)*(1+Рост_далее)^MAX(B5-6,0)*D5,1)</f>
        <v>65</v>
      </c>
      <c r="F5" s="9">
        <f>Средний_чек*(1+Рост_чека)^(B5-1)</f>
        <v>390</v>
      </c>
      <c r="G5" s="18">
        <f> C5*E5</f>
        <v>2015</v>
      </c>
      <c r="H5" s="9">
        <f>G5*F5</f>
        <v>785850</v>
      </c>
      <c r="I5" s="9">
        <f>0+H5</f>
        <v>785850</v>
      </c>
      <c r="J5" s="9">
        <f>IF(AND(0&gt;Порог_НДС,Льгота_общепит=0),H5*Ставка_НДС/(1+Ставка_НДС),0)</f>
        <v>0</v>
      </c>
    </row>
    <row r="6">
      <c r="A6" s="8" t="n">
        <v>46419</v>
      </c>
      <c r="B6" s="18">
        <f>MONTH($A6)</f>
        <v>2</v>
      </c>
      <c r="C6" s="18">
        <f>ROUND(DAY(DATE(YEAR($A6),MONTH($A6)+1,0))*Открытых_дней,0)</f>
        <v>28</v>
      </c>
      <c r="D6" s="19">
        <f>Сезон_02</f>
        <v>1</v>
      </c>
      <c r="E6" s="20">
        <f>ROUND(Гости_старт*(1+Рост_первые)^MIN(B6-1,5)*(1+Рост_далее)^MAX(B6-6,0)*D6,1)</f>
        <v>69.6</v>
      </c>
      <c r="F6" s="9">
        <f>Средний_чек*(1+Рост_чека)^(B6-1)</f>
        <v>390</v>
      </c>
      <c r="G6" s="18">
        <f> C6*E6</f>
        <v>1948.8</v>
      </c>
      <c r="H6" s="9">
        <f>G6*F6</f>
        <v>760032</v>
      </c>
      <c r="I6" s="9">
        <f>I5+H6</f>
        <v>1545882</v>
      </c>
      <c r="J6" s="9">
        <f>IF(AND(I5&gt;Порог_НДС,Льгота_общепит=0),H6*Ставка_НДС/(1+Ставка_НДС),0)</f>
        <v>0</v>
      </c>
    </row>
    <row r="7">
      <c r="A7" s="8" t="n">
        <v>46447</v>
      </c>
      <c r="B7" s="18">
        <f>MONTH($A7)</f>
        <v>3</v>
      </c>
      <c r="C7" s="18">
        <f>ROUND(DAY(DATE(YEAR($A7),MONTH($A7)+1,0))*Открытых_дней,0)</f>
        <v>31</v>
      </c>
      <c r="D7" s="19">
        <f>Сезон_03</f>
        <v>1.03</v>
      </c>
      <c r="E7" s="20">
        <f>ROUND(Гости_старт*(1+Рост_первые)^MIN(B7-1,5)*(1+Рост_далее)^MAX(B7-6,0)*D7,1)</f>
        <v>76.7</v>
      </c>
      <c r="F7" s="9">
        <f>Средний_чек*(1+Рост_чека)^(B7-1)</f>
        <v>390</v>
      </c>
      <c r="G7" s="18">
        <f> C7*E7</f>
        <v>2377.7</v>
      </c>
      <c r="H7" s="9">
        <f>G7*F7</f>
        <v>927303</v>
      </c>
      <c r="I7" s="9">
        <f>I6+H7</f>
        <v>2473185</v>
      </c>
      <c r="J7" s="9">
        <f>IF(AND(I6&gt;Порог_НДС,Льгота_общепит=0),H7*Ставка_НДС/(1+Ставка_НДС),0)</f>
        <v>0</v>
      </c>
    </row>
    <row r="8">
      <c r="A8" s="8" t="n">
        <v>46478</v>
      </c>
      <c r="B8" s="18">
        <f>MONTH($A8)</f>
        <v>4</v>
      </c>
      <c r="C8" s="18">
        <f>ROUND(DAY(DATE(YEAR($A8),MONTH($A8)+1,0))*Открытых_дней,0)</f>
        <v>30</v>
      </c>
      <c r="D8" s="19">
        <f>Сезон_04</f>
        <v>1.05</v>
      </c>
      <c r="E8" s="20">
        <f>ROUND(Гости_старт*(1+Рост_первые)^MIN(B8-1,5)*(1+Рост_далее)^MAX(B8-6,0)*D8,1)</f>
        <v>83.6</v>
      </c>
      <c r="F8" s="9">
        <f>Средний_чек*(1+Рост_чека)^(B8-1)</f>
        <v>390</v>
      </c>
      <c r="G8" s="18">
        <f> C8*E8</f>
        <v>2508</v>
      </c>
      <c r="H8" s="9">
        <f>G8*F8</f>
        <v>978120</v>
      </c>
      <c r="I8" s="9">
        <f>I7+H8</f>
        <v>3451305</v>
      </c>
      <c r="J8" s="9">
        <f>IF(AND(I7&gt;Порог_НДС,Льгота_общепит=0),H8*Ставка_НДС/(1+Ставка_НДС),0)</f>
        <v>0</v>
      </c>
    </row>
    <row r="9">
      <c r="A9" s="8" t="n">
        <v>46508</v>
      </c>
      <c r="B9" s="18">
        <f>MONTH($A9)</f>
        <v>5</v>
      </c>
      <c r="C9" s="18">
        <f>ROUND(DAY(DATE(YEAR($A9),MONTH($A9)+1,0))*Открытых_дней,0)</f>
        <v>31</v>
      </c>
      <c r="D9" s="19">
        <f>Сезон_05</f>
        <v>1.05</v>
      </c>
      <c r="E9" s="20">
        <f>ROUND(Гости_старт*(1+Рост_первые)^MIN(B9-1,5)*(1+Рост_далее)^MAX(B9-6,0)*D9,1)</f>
        <v>89.5</v>
      </c>
      <c r="F9" s="9">
        <f>Средний_чек*(1+Рост_чека)^(B9-1)</f>
        <v>390</v>
      </c>
      <c r="G9" s="18">
        <f> C9*E9</f>
        <v>2774.5</v>
      </c>
      <c r="H9" s="9">
        <f>G9*F9</f>
        <v>1082055</v>
      </c>
      <c r="I9" s="9">
        <f>I8+H9</f>
        <v>4533360</v>
      </c>
      <c r="J9" s="9">
        <f>IF(AND(I8&gt;Порог_НДС,Льгота_общепит=0),H9*Ставка_НДС/(1+Ставка_НДС),0)</f>
        <v>0</v>
      </c>
    </row>
    <row r="10">
      <c r="A10" s="8" t="n">
        <v>46539</v>
      </c>
      <c r="B10" s="18">
        <f>MONTH($A10)</f>
        <v>6</v>
      </c>
      <c r="C10" s="18">
        <f>ROUND(DAY(DATE(YEAR($A10),MONTH($A10)+1,0))*Открытых_дней,0)</f>
        <v>30</v>
      </c>
      <c r="D10" s="19">
        <f>Сезон_06</f>
        <v>0.95</v>
      </c>
      <c r="E10" s="20">
        <f>ROUND(Гости_старт*(1+Рост_первые)^MIN(B10-1,5)*(1+Рост_далее)^MAX(B10-6,0)*D10,1)</f>
        <v>86.6</v>
      </c>
      <c r="F10" s="9">
        <f>Средний_чек*(1+Рост_чека)^(B10-1)</f>
        <v>390</v>
      </c>
      <c r="G10" s="18">
        <f> C10*E10</f>
        <v>2598</v>
      </c>
      <c r="H10" s="9">
        <f>G10*F10</f>
        <v>1013220</v>
      </c>
      <c r="I10" s="9">
        <f>I9+H10</f>
        <v>5546580</v>
      </c>
      <c r="J10" s="9">
        <f>IF(AND(I9&gt;Порог_НДС,Льгота_общепит=0),H10*Ставка_НДС/(1+Ставка_НДС),0)</f>
        <v>0</v>
      </c>
    </row>
    <row r="11">
      <c r="A11" s="8" t="n">
        <v>46569</v>
      </c>
      <c r="B11" s="18">
        <f>MONTH($A11)</f>
        <v>7</v>
      </c>
      <c r="C11" s="18">
        <f>ROUND(DAY(DATE(YEAR($A11),MONTH($A11)+1,0))*Открытых_дней,0)</f>
        <v>31</v>
      </c>
      <c r="D11" s="19">
        <f>Сезон_07</f>
        <v>0.9</v>
      </c>
      <c r="E11" s="20">
        <f>ROUND(Гости_старт*(1+Рост_первые)^MIN(B11-1,5)*(1+Рост_далее)^MAX(B11-6,0)*D11,1)</f>
        <v>84.5</v>
      </c>
      <c r="F11" s="9">
        <f>Средний_чек*(1+Рост_чека)^(B11-1)</f>
        <v>390</v>
      </c>
      <c r="G11" s="18">
        <f> C11*E11</f>
        <v>2619.5</v>
      </c>
      <c r="H11" s="9">
        <f>G11*F11</f>
        <v>1021605</v>
      </c>
      <c r="I11" s="9">
        <f>I10+H11</f>
        <v>6568185</v>
      </c>
      <c r="J11" s="9">
        <f>IF(AND(I10&gt;Порог_НДС,Льгота_общепит=0),H11*Ставка_НДС/(1+Ставка_НДС),0)</f>
        <v>0</v>
      </c>
    </row>
    <row r="12">
      <c r="A12" s="8" t="n">
        <v>46600</v>
      </c>
      <c r="B12" s="18">
        <f>MONTH($A12)</f>
        <v>8</v>
      </c>
      <c r="C12" s="18">
        <f>ROUND(DAY(DATE(YEAR($A12),MONTH($A12)+1,0))*Открытых_дней,0)</f>
        <v>31</v>
      </c>
      <c r="D12" s="19">
        <f>Сезон_08</f>
        <v>0.95</v>
      </c>
      <c r="E12" s="20">
        <f>ROUND(Гости_старт*(1+Рост_первые)^MIN(B12-1,5)*(1+Рост_далее)^MAX(B12-6,0)*D12,1)</f>
        <v>91.9</v>
      </c>
      <c r="F12" s="9">
        <f>Средний_чек*(1+Рост_чека)^(B12-1)</f>
        <v>390</v>
      </c>
      <c r="G12" s="18">
        <f> C12*E12</f>
        <v>2848.9</v>
      </c>
      <c r="H12" s="9">
        <f>G12*F12</f>
        <v>1111071</v>
      </c>
      <c r="I12" s="9">
        <f>I11+H12</f>
        <v>7679256</v>
      </c>
      <c r="J12" s="9">
        <f>IF(AND(I11&gt;Порог_НДС,Льгота_общепит=0),H12*Ставка_НДС/(1+Ставка_НДС),0)</f>
        <v>0</v>
      </c>
    </row>
    <row r="13">
      <c r="A13" s="8" t="n">
        <v>46631</v>
      </c>
      <c r="B13" s="18">
        <f>MONTH($A13)</f>
        <v>9</v>
      </c>
      <c r="C13" s="18">
        <f>ROUND(DAY(DATE(YEAR($A13),MONTH($A13)+1,0))*Открытых_дней,0)</f>
        <v>30</v>
      </c>
      <c r="D13" s="19">
        <f>Сезон_09</f>
        <v>1.08</v>
      </c>
      <c r="E13" s="20">
        <f>ROUND(Гости_старт*(1+Рост_первые)^MIN(B13-1,5)*(1+Рост_далее)^MAX(B13-6,0)*D13,1)</f>
        <v>107.6</v>
      </c>
      <c r="F13" s="9">
        <f>Средний_чек*(1+Рост_чека)^(B13-1)</f>
        <v>390</v>
      </c>
      <c r="G13" s="18">
        <f> C13*E13</f>
        <v>3228</v>
      </c>
      <c r="H13" s="9">
        <f>G13*F13</f>
        <v>1258920</v>
      </c>
      <c r="I13" s="9">
        <f>I12+H13</f>
        <v>8938176</v>
      </c>
      <c r="J13" s="9">
        <f>IF(AND(I12&gt;Порог_НДС,Льгота_общепит=0),H13*Ставка_НДС/(1+Ставка_НДС),0)</f>
        <v>0</v>
      </c>
    </row>
    <row r="14">
      <c r="A14" s="8" t="n">
        <v>46661</v>
      </c>
      <c r="B14" s="18">
        <f>MONTH($A14)</f>
        <v>10</v>
      </c>
      <c r="C14" s="18">
        <f>ROUND(DAY(DATE(YEAR($A14),MONTH($A14)+1,0))*Открытых_дней,0)</f>
        <v>31</v>
      </c>
      <c r="D14" s="19">
        <f>Сезон_10</f>
        <v>1.1</v>
      </c>
      <c r="E14" s="20">
        <f>ROUND(Гости_старт*(1+Рост_первые)^MIN(B14-1,5)*(1+Рост_далее)^MAX(B14-6,0)*D14,1)</f>
        <v>112.9</v>
      </c>
      <c r="F14" s="9">
        <f>Средний_чек*(1+Рост_чека)^(B14-1)</f>
        <v>390</v>
      </c>
      <c r="G14" s="18">
        <f> C14*E14</f>
        <v>3499.9</v>
      </c>
      <c r="H14" s="9">
        <f>G14*F14</f>
        <v>1364961</v>
      </c>
      <c r="I14" s="9">
        <f>I13+H14</f>
        <v>10303137</v>
      </c>
      <c r="J14" s="9">
        <f>IF(AND(I13&gt;Порог_НДС,Льгота_общепит=0),H14*Ставка_НДС/(1+Ставка_НДС),0)</f>
        <v>0</v>
      </c>
    </row>
    <row r="15">
      <c r="A15" s="8" t="n">
        <v>46692</v>
      </c>
      <c r="B15" s="18">
        <f>MONTH($A15)</f>
        <v>11</v>
      </c>
      <c r="C15" s="18">
        <f>ROUND(DAY(DATE(YEAR($A15),MONTH($A15)+1,0))*Открытых_дней,0)</f>
        <v>30</v>
      </c>
      <c r="D15" s="19">
        <f>Сезон_11</f>
        <v>1.1</v>
      </c>
      <c r="E15" s="20">
        <f>ROUND(Гости_старт*(1+Рост_первые)^MIN(B15-1,5)*(1+Рост_далее)^MAX(B15-6,0)*D15,1)</f>
        <v>116.3</v>
      </c>
      <c r="F15" s="9">
        <f>Средний_чек*(1+Рост_чека)^(B15-1)</f>
        <v>390</v>
      </c>
      <c r="G15" s="18">
        <f> C15*E15</f>
        <v>3489</v>
      </c>
      <c r="H15" s="9">
        <f>G15*F15</f>
        <v>1360710</v>
      </c>
      <c r="I15" s="9">
        <f>I14+H15</f>
        <v>11663847</v>
      </c>
      <c r="J15" s="9">
        <f>IF(AND(I14&gt;Порог_НДС,Льгота_общепит=0),H15*Ставка_НДС/(1+Ставка_НДС),0)</f>
        <v>0</v>
      </c>
    </row>
    <row r="16">
      <c r="A16" s="8" t="n">
        <v>46722</v>
      </c>
      <c r="B16" s="18">
        <f>MONTH($A16)</f>
        <v>12</v>
      </c>
      <c r="C16" s="18">
        <f>ROUND(DAY(DATE(YEAR($A16),MONTH($A16)+1,0))*Открытых_дней,0)</f>
        <v>31</v>
      </c>
      <c r="D16" s="19">
        <f>Сезон_12</f>
        <v>1.15</v>
      </c>
      <c r="E16" s="20">
        <f>ROUND(Гости_старт*(1+Рост_первые)^MIN(B16-1,5)*(1+Рост_далее)^MAX(B16-6,0)*D16,1)</f>
        <v>125.2</v>
      </c>
      <c r="F16" s="9">
        <f>Средний_чек*(1+Рост_чека)^(B16-1)</f>
        <v>390</v>
      </c>
      <c r="G16" s="18">
        <f> C16*E16</f>
        <v>3881.2</v>
      </c>
      <c r="H16" s="9">
        <f>G16*F16</f>
        <v>1513668</v>
      </c>
      <c r="I16" s="9">
        <f>I15+H16</f>
        <v>13177515</v>
      </c>
      <c r="J16" s="9">
        <f>IF(AND(I15&gt;Порог_НДС,Льгота_общепит=0),H16*Ставка_НДС/(1+Ставка_НДС),0)</f>
        <v>0</v>
      </c>
    </row>
  </sheetData>
  <mergeCells count="2">
    <mergeCell ref="A1:J1"/>
    <mergeCell ref="A2:J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0" tabSelected="0" workbookViewId="0">
      <selection activeCell="A1" sqref="A1"/>
    </sheetView>
  </sheetViews>
  <sheetFormatPr baseColWidth="8" defaultRowHeight="15" outlineLevelCol="0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5" customWidth="1" min="9" max="9"/>
    <col width="14" customWidth="1" min="10" max="10"/>
    <col width="14" customWidth="1" min="11" max="11"/>
    <col width="20" customWidth="1" min="12" max="12"/>
  </cols>
  <sheetData>
    <row r="1" ht="26" customHeight="1">
      <c r="A1" s="1" t="inlineStr">
        <is>
          <t>Ежемесячные расходы</t>
        </is>
      </c>
    </row>
    <row r="2" ht="16" customHeight="1">
      <c r="A2" s="2" t="inlineStr">
        <is>
          <t>Закупки включают пополнение использованного сырья. Остаток стартового запаса не списывается второй раз.</t>
        </is>
      </c>
    </row>
    <row r="3"/>
    <row r="4">
      <c r="A4" s="6" t="inlineStr">
        <is>
          <t>Месяц</t>
        </is>
      </c>
      <c r="B4" s="7" t="inlineStr">
        <is>
          <t>Сырьё</t>
        </is>
      </c>
      <c r="C4" s="7" t="inlineStr">
        <is>
          <t>Упаковка</t>
        </is>
      </c>
      <c r="D4" s="7" t="inlineStr">
        <is>
          <t>Списания</t>
        </is>
      </c>
      <c r="E4" s="7" t="inlineStr">
        <is>
          <t>Эквайринг</t>
        </is>
      </c>
      <c r="F4" s="7" t="inlineStr">
        <is>
          <t>Аренда</t>
        </is>
      </c>
      <c r="G4" s="7" t="inlineStr">
        <is>
          <t>Зарплаты</t>
        </is>
      </c>
      <c r="H4" s="7" t="inlineStr">
        <is>
          <t>Взносы</t>
        </is>
      </c>
      <c r="I4" s="7" t="inlineStr">
        <is>
          <t>Коммунальные</t>
        </is>
      </c>
      <c r="J4" s="7" t="inlineStr">
        <is>
          <t>Маркетинг</t>
        </is>
      </c>
      <c r="K4" s="7" t="inlineStr">
        <is>
          <t>Прочие</t>
        </is>
      </c>
      <c r="L4" s="7" t="inlineStr">
        <is>
          <t>Всего без налогов</t>
        </is>
      </c>
    </row>
    <row r="5">
      <c r="A5" s="8" t="n">
        <v>46388</v>
      </c>
      <c r="B5" s="9">
        <f>INDEX('Продажи'!$H$5:$H$16,MONTH($A5))*Сырье</f>
        <v>251472</v>
      </c>
      <c r="C5" s="9">
        <f>INDEX('Продажи'!$H$5:$H$16,MONTH($A5))*Упаковка</f>
        <v>23575.5</v>
      </c>
      <c r="D5" s="9">
        <f>INDEX('Продажи'!$H$5:$H$16,MONTH($A5))*Списания</f>
        <v>15717</v>
      </c>
      <c r="E5" s="9">
        <f>INDEX('Продажи'!$H$5:$H$16,MONTH($A5))*Эквайринг</f>
        <v>14145.3</v>
      </c>
      <c r="F5" s="9">
        <f>Аренда</f>
        <v>90000</v>
      </c>
      <c r="G5" s="9">
        <f>Бариста_шт*Бариста_оклад+Пекари_шт*Пекарь_оклад+Основатели_шт*Основатель_оклад</f>
        <v>310000</v>
      </c>
      <c r="H5" s="9">
        <f>G5*Ставка_взносов</f>
        <v>93620</v>
      </c>
      <c r="I5" s="9">
        <f>Коммунальные</f>
        <v>30000</v>
      </c>
      <c r="J5" s="9">
        <f>Маркетинг</f>
        <v>15000</v>
      </c>
      <c r="K5" s="9">
        <f>Прочие</f>
        <v>25000</v>
      </c>
      <c r="L5" s="9">
        <f>B5+C5+D5+E5+F5+G5+H5+I5+J5+K5</f>
        <v>868529.8</v>
      </c>
    </row>
    <row r="6">
      <c r="A6" s="8" t="n">
        <v>46419</v>
      </c>
      <c r="B6" s="9">
        <f>INDEX('Продажи'!$H$5:$H$16,MONTH($A6))*Сырье</f>
        <v>243210.24</v>
      </c>
      <c r="C6" s="9">
        <f>INDEX('Продажи'!$H$5:$H$16,MONTH($A6))*Упаковка</f>
        <v>22800.96</v>
      </c>
      <c r="D6" s="9">
        <f>INDEX('Продажи'!$H$5:$H$16,MONTH($A6))*Списания</f>
        <v>15200.64</v>
      </c>
      <c r="E6" s="9">
        <f>INDEX('Продажи'!$H$5:$H$16,MONTH($A6))*Эквайринг</f>
        <v>13680.576</v>
      </c>
      <c r="F6" s="9">
        <f>Аренда</f>
        <v>90000</v>
      </c>
      <c r="G6" s="9">
        <f>Бариста_шт*Бариста_оклад+Пекари_шт*Пекарь_оклад+Основатели_шт*Основатель_оклад</f>
        <v>310000</v>
      </c>
      <c r="H6" s="9">
        <f>G6*Ставка_взносов</f>
        <v>93620</v>
      </c>
      <c r="I6" s="9">
        <f>Коммунальные</f>
        <v>30000</v>
      </c>
      <c r="J6" s="9">
        <f>Маркетинг</f>
        <v>15000</v>
      </c>
      <c r="K6" s="9">
        <f>Прочие</f>
        <v>25000</v>
      </c>
      <c r="L6" s="9">
        <f>B6+C6+D6+E6+F6+G6+H6+I6+J6+K6</f>
        <v>858512.416</v>
      </c>
    </row>
    <row r="7">
      <c r="A7" s="8" t="n">
        <v>46447</v>
      </c>
      <c r="B7" s="9">
        <f>INDEX('Продажи'!$H$5:$H$16,MONTH($A7))*Сырье</f>
        <v>296736.96</v>
      </c>
      <c r="C7" s="9">
        <f>INDEX('Продажи'!$H$5:$H$16,MONTH($A7))*Упаковка</f>
        <v>27819.09</v>
      </c>
      <c r="D7" s="9">
        <f>INDEX('Продажи'!$H$5:$H$16,MONTH($A7))*Списания</f>
        <v>18546.06</v>
      </c>
      <c r="E7" s="9">
        <f>INDEX('Продажи'!$H$5:$H$16,MONTH($A7))*Эквайринг</f>
        <v>16691.454</v>
      </c>
      <c r="F7" s="9">
        <f>Аренда</f>
        <v>90000</v>
      </c>
      <c r="G7" s="9">
        <f>Бариста_шт*Бариста_оклад+Пекари_шт*Пекарь_оклад+Основатели_шт*Основатель_оклад</f>
        <v>310000</v>
      </c>
      <c r="H7" s="9">
        <f>G7*Ставка_взносов</f>
        <v>93620</v>
      </c>
      <c r="I7" s="9">
        <f>Коммунальные</f>
        <v>30000</v>
      </c>
      <c r="J7" s="9">
        <f>Маркетинг</f>
        <v>15000</v>
      </c>
      <c r="K7" s="9">
        <f>Прочие</f>
        <v>25000</v>
      </c>
      <c r="L7" s="9">
        <f>B7+C7+D7+E7+F7+G7+H7+I7+J7+K7</f>
        <v>923413.564</v>
      </c>
    </row>
    <row r="8">
      <c r="A8" s="8" t="n">
        <v>46478</v>
      </c>
      <c r="B8" s="9">
        <f>INDEX('Продажи'!$H$5:$H$16,MONTH($A8))*Сырье</f>
        <v>312998.4</v>
      </c>
      <c r="C8" s="9">
        <f>INDEX('Продажи'!$H$5:$H$16,MONTH($A8))*Упаковка</f>
        <v>29343.6</v>
      </c>
      <c r="D8" s="9">
        <f>INDEX('Продажи'!$H$5:$H$16,MONTH($A8))*Списания</f>
        <v>19562.4</v>
      </c>
      <c r="E8" s="9">
        <f>INDEX('Продажи'!$H$5:$H$16,MONTH($A8))*Эквайринг</f>
        <v>17606.16</v>
      </c>
      <c r="F8" s="9">
        <f>Аренда</f>
        <v>90000</v>
      </c>
      <c r="G8" s="9">
        <f>Бариста_шт*Бариста_оклад+Пекари_шт*Пекарь_оклад+Основатели_шт*Основатель_оклад</f>
        <v>310000</v>
      </c>
      <c r="H8" s="9">
        <f>G8*Ставка_взносов</f>
        <v>93620</v>
      </c>
      <c r="I8" s="9">
        <f>Коммунальные</f>
        <v>30000</v>
      </c>
      <c r="J8" s="9">
        <f>Маркетинг</f>
        <v>15000</v>
      </c>
      <c r="K8" s="9">
        <f>Прочие</f>
        <v>25000</v>
      </c>
      <c r="L8" s="9">
        <f>B8+C8+D8+E8+F8+G8+H8+I8+J8+K8</f>
        <v>943130.56</v>
      </c>
    </row>
    <row r="9">
      <c r="A9" s="8" t="n">
        <v>46508</v>
      </c>
      <c r="B9" s="9">
        <f>INDEX('Продажи'!$H$5:$H$16,MONTH($A9))*Сырье</f>
        <v>346257.6</v>
      </c>
      <c r="C9" s="9">
        <f>INDEX('Продажи'!$H$5:$H$16,MONTH($A9))*Упаковка</f>
        <v>32461.65</v>
      </c>
      <c r="D9" s="9">
        <f>INDEX('Продажи'!$H$5:$H$16,MONTH($A9))*Списания</f>
        <v>21641.1</v>
      </c>
      <c r="E9" s="9">
        <f>INDEX('Продажи'!$H$5:$H$16,MONTH($A9))*Эквайринг</f>
        <v>19476.99</v>
      </c>
      <c r="F9" s="9">
        <f>Аренда</f>
        <v>90000</v>
      </c>
      <c r="G9" s="9">
        <f>Бариста_шт*Бариста_оклад+Пекари_шт*Пекарь_оклад+Основатели_шт*Основатель_оклад</f>
        <v>310000</v>
      </c>
      <c r="H9" s="9">
        <f>G9*Ставка_взносов</f>
        <v>93620</v>
      </c>
      <c r="I9" s="9">
        <f>Коммунальные</f>
        <v>30000</v>
      </c>
      <c r="J9" s="9">
        <f>Маркетинг</f>
        <v>15000</v>
      </c>
      <c r="K9" s="9">
        <f>Прочие</f>
        <v>25000</v>
      </c>
      <c r="L9" s="9">
        <f>B9+C9+D9+E9+F9+G9+H9+I9+J9+K9</f>
        <v>983457.34</v>
      </c>
    </row>
    <row r="10">
      <c r="A10" s="8" t="n">
        <v>46539</v>
      </c>
      <c r="B10" s="9">
        <f>INDEX('Продажи'!$H$5:$H$16,MONTH($A10))*Сырье</f>
        <v>324230.4</v>
      </c>
      <c r="C10" s="9">
        <f>INDEX('Продажи'!$H$5:$H$16,MONTH($A10))*Упаковка</f>
        <v>30396.6</v>
      </c>
      <c r="D10" s="9">
        <f>INDEX('Продажи'!$H$5:$H$16,MONTH($A10))*Списания</f>
        <v>20264.4</v>
      </c>
      <c r="E10" s="9">
        <f>INDEX('Продажи'!$H$5:$H$16,MONTH($A10))*Эквайринг</f>
        <v>18237.96</v>
      </c>
      <c r="F10" s="9">
        <f>Аренда</f>
        <v>90000</v>
      </c>
      <c r="G10" s="9">
        <f>Бариста_шт*Бариста_оклад+Пекари_шт*Пекарь_оклад+Основатели_шт*Основатель_оклад</f>
        <v>310000</v>
      </c>
      <c r="H10" s="9">
        <f>G10*Ставка_взносов</f>
        <v>93620</v>
      </c>
      <c r="I10" s="9">
        <f>Коммунальные</f>
        <v>30000</v>
      </c>
      <c r="J10" s="9">
        <f>Маркетинг</f>
        <v>15000</v>
      </c>
      <c r="K10" s="9">
        <f>Прочие</f>
        <v>25000</v>
      </c>
      <c r="L10" s="9">
        <f>B10+C10+D10+E10+F10+G10+H10+I10+J10+K10</f>
        <v>956749.36</v>
      </c>
    </row>
    <row r="11">
      <c r="A11" s="8" t="n">
        <v>46569</v>
      </c>
      <c r="B11" s="9">
        <f>INDEX('Продажи'!$H$5:$H$16,MONTH($A11))*Сырье</f>
        <v>326913.6</v>
      </c>
      <c r="C11" s="9">
        <f>INDEX('Продажи'!$H$5:$H$16,MONTH($A11))*Упаковка</f>
        <v>30648.15</v>
      </c>
      <c r="D11" s="9">
        <f>INDEX('Продажи'!$H$5:$H$16,MONTH($A11))*Списания</f>
        <v>20432.1</v>
      </c>
      <c r="E11" s="9">
        <f>INDEX('Продажи'!$H$5:$H$16,MONTH($A11))*Эквайринг</f>
        <v>18388.89</v>
      </c>
      <c r="F11" s="9">
        <f>Аренда</f>
        <v>90000</v>
      </c>
      <c r="G11" s="9">
        <f>Бариста_шт*Бариста_оклад+Пекари_шт*Пекарь_оклад+Основатели_шт*Основатель_оклад</f>
        <v>310000</v>
      </c>
      <c r="H11" s="9">
        <f>G11*Ставка_взносов</f>
        <v>93620</v>
      </c>
      <c r="I11" s="9">
        <f>Коммунальные</f>
        <v>30000</v>
      </c>
      <c r="J11" s="9">
        <f>Маркетинг</f>
        <v>15000</v>
      </c>
      <c r="K11" s="9">
        <f>Прочие</f>
        <v>25000</v>
      </c>
      <c r="L11" s="9">
        <f>B11+C11+D11+E11+F11+G11+H11+I11+J11+K11</f>
        <v>960002.74</v>
      </c>
    </row>
    <row r="12">
      <c r="A12" s="8" t="n">
        <v>46600</v>
      </c>
      <c r="B12" s="9">
        <f>INDEX('Продажи'!$H$5:$H$16,MONTH($A12))*Сырье</f>
        <v>355542.72</v>
      </c>
      <c r="C12" s="9">
        <f>INDEX('Продажи'!$H$5:$H$16,MONTH($A12))*Упаковка</f>
        <v>33332.13</v>
      </c>
      <c r="D12" s="9">
        <f>INDEX('Продажи'!$H$5:$H$16,MONTH($A12))*Списания</f>
        <v>22221.42</v>
      </c>
      <c r="E12" s="9">
        <f>INDEX('Продажи'!$H$5:$H$16,MONTH($A12))*Эквайринг</f>
        <v>19999.278</v>
      </c>
      <c r="F12" s="9">
        <f>Аренда</f>
        <v>90000</v>
      </c>
      <c r="G12" s="9">
        <f>Бариста_шт*Бариста_оклад+Пекари_шт*Пекарь_оклад+Основатели_шт*Основатель_оклад</f>
        <v>310000</v>
      </c>
      <c r="H12" s="9">
        <f>G12*Ставка_взносов</f>
        <v>93620</v>
      </c>
      <c r="I12" s="9">
        <f>Коммунальные</f>
        <v>30000</v>
      </c>
      <c r="J12" s="9">
        <f>Маркетинг</f>
        <v>15000</v>
      </c>
      <c r="K12" s="9">
        <f>Прочие</f>
        <v>25000</v>
      </c>
      <c r="L12" s="9">
        <f>B12+C12+D12+E12+F12+G12+H12+I12+J12+K12</f>
        <v>994715.548</v>
      </c>
    </row>
    <row r="13">
      <c r="A13" s="8" t="n">
        <v>46631</v>
      </c>
      <c r="B13" s="9">
        <f>INDEX('Продажи'!$H$5:$H$16,MONTH($A13))*Сырье</f>
        <v>402854.4</v>
      </c>
      <c r="C13" s="9">
        <f>INDEX('Продажи'!$H$5:$H$16,MONTH($A13))*Упаковка</f>
        <v>37767.6</v>
      </c>
      <c r="D13" s="9">
        <f>INDEX('Продажи'!$H$5:$H$16,MONTH($A13))*Списания</f>
        <v>25178.4</v>
      </c>
      <c r="E13" s="9">
        <f>INDEX('Продажи'!$H$5:$H$16,MONTH($A13))*Эквайринг</f>
        <v>22660.56</v>
      </c>
      <c r="F13" s="9">
        <f>Аренда</f>
        <v>90000</v>
      </c>
      <c r="G13" s="9">
        <f>Бариста_шт*Бариста_оклад+Пекари_шт*Пекарь_оклад+Основатели_шт*Основатель_оклад</f>
        <v>310000</v>
      </c>
      <c r="H13" s="9">
        <f>G13*Ставка_взносов</f>
        <v>93620</v>
      </c>
      <c r="I13" s="9">
        <f>Коммунальные</f>
        <v>30000</v>
      </c>
      <c r="J13" s="9">
        <f>Маркетинг</f>
        <v>15000</v>
      </c>
      <c r="K13" s="9">
        <f>Прочие</f>
        <v>25000</v>
      </c>
      <c r="L13" s="9">
        <f>B13+C13+D13+E13+F13+G13+H13+I13+J13+K13</f>
        <v>1052080.96</v>
      </c>
    </row>
    <row r="14">
      <c r="A14" s="8" t="n">
        <v>46661</v>
      </c>
      <c r="B14" s="9">
        <f>INDEX('Продажи'!$H$5:$H$16,MONTH($A14))*Сырье</f>
        <v>436787.52</v>
      </c>
      <c r="C14" s="9">
        <f>INDEX('Продажи'!$H$5:$H$16,MONTH($A14))*Упаковка</f>
        <v>40948.83</v>
      </c>
      <c r="D14" s="9">
        <f>INDEX('Продажи'!$H$5:$H$16,MONTH($A14))*Списания</f>
        <v>27299.22</v>
      </c>
      <c r="E14" s="9">
        <f>INDEX('Продажи'!$H$5:$H$16,MONTH($A14))*Эквайринг</f>
        <v>24569.298</v>
      </c>
      <c r="F14" s="9">
        <f>Аренда</f>
        <v>90000</v>
      </c>
      <c r="G14" s="9">
        <f>Бариста_шт*Бариста_оклад+Пекари_шт*Пекарь_оклад+Основатели_шт*Основатель_оклад</f>
        <v>310000</v>
      </c>
      <c r="H14" s="9">
        <f>G14*Ставка_взносов</f>
        <v>93620</v>
      </c>
      <c r="I14" s="9">
        <f>Коммунальные</f>
        <v>30000</v>
      </c>
      <c r="J14" s="9">
        <f>Маркетинг</f>
        <v>15000</v>
      </c>
      <c r="K14" s="9">
        <f>Прочие</f>
        <v>25000</v>
      </c>
      <c r="L14" s="9">
        <f>B14+C14+D14+E14+F14+G14+H14+I14+J14+K14</f>
        <v>1093224.868</v>
      </c>
    </row>
    <row r="15">
      <c r="A15" s="8" t="n">
        <v>46692</v>
      </c>
      <c r="B15" s="9">
        <f>INDEX('Продажи'!$H$5:$H$16,MONTH($A15))*Сырье</f>
        <v>435427.2</v>
      </c>
      <c r="C15" s="9">
        <f>INDEX('Продажи'!$H$5:$H$16,MONTH($A15))*Упаковка</f>
        <v>40821.3</v>
      </c>
      <c r="D15" s="9">
        <f>INDEX('Продажи'!$H$5:$H$16,MONTH($A15))*Списания</f>
        <v>27214.2</v>
      </c>
      <c r="E15" s="9">
        <f>INDEX('Продажи'!$H$5:$H$16,MONTH($A15))*Эквайринг</f>
        <v>24492.78</v>
      </c>
      <c r="F15" s="9">
        <f>Аренда</f>
        <v>90000</v>
      </c>
      <c r="G15" s="9">
        <f>Бариста_шт*Бариста_оклад+Пекари_шт*Пекарь_оклад+Основатели_шт*Основатель_оклад</f>
        <v>310000</v>
      </c>
      <c r="H15" s="9">
        <f>G15*Ставка_взносов</f>
        <v>93620</v>
      </c>
      <c r="I15" s="9">
        <f>Коммунальные</f>
        <v>30000</v>
      </c>
      <c r="J15" s="9">
        <f>Маркетинг</f>
        <v>15000</v>
      </c>
      <c r="K15" s="9">
        <f>Прочие</f>
        <v>25000</v>
      </c>
      <c r="L15" s="9">
        <f>B15+C15+D15+E15+F15+G15+H15+I15+J15+K15</f>
        <v>1091575.48</v>
      </c>
    </row>
    <row r="16">
      <c r="A16" s="8" t="n">
        <v>46722</v>
      </c>
      <c r="B16" s="9">
        <f>INDEX('Продажи'!$H$5:$H$16,MONTH($A16))*Сырье</f>
        <v>484373.76</v>
      </c>
      <c r="C16" s="9">
        <f>INDEX('Продажи'!$H$5:$H$16,MONTH($A16))*Упаковка</f>
        <v>45410.04</v>
      </c>
      <c r="D16" s="9">
        <f>INDEX('Продажи'!$H$5:$H$16,MONTH($A16))*Списания</f>
        <v>30273.36</v>
      </c>
      <c r="E16" s="9">
        <f>INDEX('Продажи'!$H$5:$H$16,MONTH($A16))*Эквайринг</f>
        <v>27246.024</v>
      </c>
      <c r="F16" s="9">
        <f>Аренда</f>
        <v>90000</v>
      </c>
      <c r="G16" s="9">
        <f>Бариста_шт*Бариста_оклад+Пекари_шт*Пекарь_оклад+Основатели_шт*Основатель_оклад</f>
        <v>310000</v>
      </c>
      <c r="H16" s="9">
        <f>G16*Ставка_взносов</f>
        <v>93620</v>
      </c>
      <c r="I16" s="9">
        <f>Коммунальные</f>
        <v>30000</v>
      </c>
      <c r="J16" s="9">
        <f>Маркетинг</f>
        <v>15000</v>
      </c>
      <c r="K16" s="9">
        <f>Прочие</f>
        <v>25000</v>
      </c>
      <c r="L16" s="9">
        <f>B16+C16+D16+E16+F16+G16+H16+I16+J16+K16</f>
        <v>1150923.184</v>
      </c>
    </row>
  </sheetData>
  <mergeCells count="2">
    <mergeCell ref="A2:L2"/>
    <mergeCell ref="A1:L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tabSelected="0" workbookViewId="0">
      <selection activeCell="A1" sqref="A1"/>
    </sheetView>
  </sheetViews>
  <sheetFormatPr baseColWidth="8" defaultRowHeight="15" outlineLevelCol="0"/>
  <cols>
    <col width="16" customWidth="1" min="1" max="1"/>
    <col width="14" customWidth="1" min="2" max="2"/>
    <col width="14" customWidth="1" min="3" max="3"/>
    <col width="14" customWidth="1" min="4" max="4"/>
    <col width="15" customWidth="1" min="5" max="5"/>
    <col width="14" customWidth="1" min="6" max="6"/>
    <col width="21" customWidth="1" min="7" max="7"/>
    <col width="19" customWidth="1" min="8" max="8"/>
    <col width="14" customWidth="1" min="9" max="9"/>
    <col width="12" customWidth="1" min="10" max="10"/>
  </cols>
  <sheetData>
    <row r="1" ht="26" customHeight="1">
      <c r="A1" s="1" t="inlineStr">
        <is>
          <t>Прибыль и выход в ноль</t>
        </is>
      </c>
    </row>
    <row r="2" ht="16" customHeight="1">
      <c r="A2" s="2" t="inlineStr">
        <is>
          <t>Управленческая прибыль после налогов, до амортизации, кредитов и дивидендов. Зарплаты обоих основателей учтены.</t>
        </is>
      </c>
    </row>
    <row r="3"/>
    <row r="4">
      <c r="A4" s="6" t="inlineStr">
        <is>
          <t>Месяц</t>
        </is>
      </c>
      <c r="B4" s="7" t="inlineStr">
        <is>
          <t>Выручка</t>
        </is>
      </c>
      <c r="C4" s="7" t="inlineStr">
        <is>
          <t>Расходы</t>
        </is>
      </c>
      <c r="D4" s="7" t="inlineStr">
        <is>
          <t>НДС</t>
        </is>
      </c>
      <c r="E4" s="7" t="inlineStr">
        <is>
          <t>УСН начислен</t>
        </is>
      </c>
      <c r="F4" s="7" t="inlineStr">
        <is>
          <t>Прибыль</t>
        </is>
      </c>
      <c r="G4" s="7" t="inlineStr">
        <is>
          <t>Результат с января</t>
        </is>
      </c>
      <c r="H4" s="7" t="inlineStr">
        <is>
          <t>Возврат вложений</t>
        </is>
      </c>
      <c r="I4" s="7" t="inlineStr">
        <is>
          <t>Первый плюс</t>
        </is>
      </c>
      <c r="J4" s="7" t="inlineStr">
        <is>
          <t>Окупилось</t>
        </is>
      </c>
    </row>
    <row r="5">
      <c r="A5" s="8" t="n">
        <v>46388</v>
      </c>
      <c r="B5" s="9">
        <f>INDEX('Продажи'!$H$5:$H$16,MONTH($A5))</f>
        <v>785850</v>
      </c>
      <c r="C5" s="9">
        <f>INDEX('Расходы'!$L$5:$L$16,MONTH($A5))</f>
        <v>868529.8</v>
      </c>
      <c r="D5" s="9">
        <f>INDEX('Продажи'!$J$5:$J$16,MONTH($A5))</f>
        <v>0</v>
      </c>
      <c r="E5" s="9">
        <f>MAX((B5-D5)*УСН_ставка-INDEX('Расходы'!$H$5:$H$16,MONTH($A5)),(B5-D5)*УСН_ставка*(1-Вычет_лимит))</f>
        <v>23575.5</v>
      </c>
      <c r="F5" s="9">
        <f>B5-C5-D5-E5</f>
        <v>-106255.3</v>
      </c>
      <c r="G5" s="9">
        <f>0+F5</f>
        <v>-106255.3</v>
      </c>
      <c r="H5" s="9">
        <f>G5-Старт_всего</f>
        <v>-2763255.3</v>
      </c>
      <c r="I5" s="8">
        <f>IF(F5&gt;=0,$A5,0)</f>
        <v>0</v>
      </c>
      <c r="J5" s="8">
        <f>IF(H5&gt;=0,$A5,0)</f>
        <v>0</v>
      </c>
    </row>
    <row r="6">
      <c r="A6" s="8" t="n">
        <v>46419</v>
      </c>
      <c r="B6" s="9">
        <f>INDEX('Продажи'!$H$5:$H$16,MONTH($A6))</f>
        <v>760032</v>
      </c>
      <c r="C6" s="9">
        <f>INDEX('Расходы'!$L$5:$L$16,MONTH($A6))</f>
        <v>858512.416</v>
      </c>
      <c r="D6" s="9">
        <f>INDEX('Продажи'!$J$5:$J$16,MONTH($A6))</f>
        <v>0</v>
      </c>
      <c r="E6" s="9">
        <f>MAX((B6-D6)*УСН_ставка-INDEX('Расходы'!$H$5:$H$16,MONTH($A6)),(B6-D6)*УСН_ставка*(1-Вычет_лимит))</f>
        <v>22800.96</v>
      </c>
      <c r="F6" s="9">
        <f>B6-C6-D6-E6</f>
        <v>-121281.376</v>
      </c>
      <c r="G6" s="9">
        <f>G5+F6</f>
        <v>-227536.676</v>
      </c>
      <c r="H6" s="9">
        <f>G6-Старт_всего</f>
        <v>-2884536.676</v>
      </c>
      <c r="I6" s="8">
        <f>IF(F6&gt;=0,$A6,0)</f>
        <v>0</v>
      </c>
      <c r="J6" s="8">
        <f>IF(H6&gt;=0,$A6,0)</f>
        <v>0</v>
      </c>
    </row>
    <row r="7">
      <c r="A7" s="8" t="n">
        <v>46447</v>
      </c>
      <c r="B7" s="9">
        <f>INDEX('Продажи'!$H$5:$H$16,MONTH($A7))</f>
        <v>927303</v>
      </c>
      <c r="C7" s="9">
        <f>INDEX('Расходы'!$L$5:$L$16,MONTH($A7))</f>
        <v>923413.564</v>
      </c>
      <c r="D7" s="9">
        <f>INDEX('Продажи'!$J$5:$J$16,MONTH($A7))</f>
        <v>0</v>
      </c>
      <c r="E7" s="9">
        <f>MAX((B7-D7)*УСН_ставка-INDEX('Расходы'!$H$5:$H$16,MONTH($A7)),(B7-D7)*УСН_ставка*(1-Вычет_лимит))</f>
        <v>27819.09</v>
      </c>
      <c r="F7" s="9">
        <f>B7-C7-D7-E7</f>
        <v>-23929.6539999999</v>
      </c>
      <c r="G7" s="9">
        <f>G6+F7</f>
        <v>-251466.33</v>
      </c>
      <c r="H7" s="9">
        <f>G7-Старт_всего</f>
        <v>-2908466.33</v>
      </c>
      <c r="I7" s="8">
        <f>IF(F7&gt;=0,$A7,0)</f>
        <v>0</v>
      </c>
      <c r="J7" s="8">
        <f>IF(H7&gt;=0,$A7,0)</f>
        <v>0</v>
      </c>
    </row>
    <row r="8">
      <c r="A8" s="8" t="n">
        <v>46478</v>
      </c>
      <c r="B8" s="9">
        <f>INDEX('Продажи'!$H$5:$H$16,MONTH($A8))</f>
        <v>978120</v>
      </c>
      <c r="C8" s="9">
        <f>INDEX('Расходы'!$L$5:$L$16,MONTH($A8))</f>
        <v>943130.56</v>
      </c>
      <c r="D8" s="9">
        <f>INDEX('Продажи'!$J$5:$J$16,MONTH($A8))</f>
        <v>0</v>
      </c>
      <c r="E8" s="9">
        <f>MAX((B8-D8)*УСН_ставка-INDEX('Расходы'!$H$5:$H$16,MONTH($A8)),(B8-D8)*УСН_ставка*(1-Вычет_лимит))</f>
        <v>29343.6</v>
      </c>
      <c r="F8" s="9">
        <f>B8-C8-D8-E8</f>
        <v>5645.83999999995</v>
      </c>
      <c r="G8" s="9">
        <f>G7+F8</f>
        <v>-245820.49</v>
      </c>
      <c r="H8" s="9">
        <f>G8-Старт_всего</f>
        <v>-2902820.49</v>
      </c>
      <c r="I8" s="8">
        <f>IF(F8&gt;=0,$A8,0)</f>
        <v>46478</v>
      </c>
      <c r="J8" s="8">
        <f>IF(H8&gt;=0,$A8,0)</f>
        <v>0</v>
      </c>
    </row>
    <row r="9">
      <c r="A9" s="8" t="n">
        <v>46508</v>
      </c>
      <c r="B9" s="9">
        <f>INDEX('Продажи'!$H$5:$H$16,MONTH($A9))</f>
        <v>1082055</v>
      </c>
      <c r="C9" s="9">
        <f>INDEX('Расходы'!$L$5:$L$16,MONTH($A9))</f>
        <v>983457.34</v>
      </c>
      <c r="D9" s="9">
        <f>INDEX('Продажи'!$J$5:$J$16,MONTH($A9))</f>
        <v>0</v>
      </c>
      <c r="E9" s="9">
        <f>MAX((B9-D9)*УСН_ставка-INDEX('Расходы'!$H$5:$H$16,MONTH($A9)),(B9-D9)*УСН_ставка*(1-Вычет_лимит))</f>
        <v>32461.65</v>
      </c>
      <c r="F9" s="9">
        <f>B9-C9-D9-E9</f>
        <v>66136.0099999999</v>
      </c>
      <c r="G9" s="9">
        <f>G8+F9</f>
        <v>-179684.48</v>
      </c>
      <c r="H9" s="9">
        <f>G9-Старт_всего</f>
        <v>-2836684.48</v>
      </c>
      <c r="I9" s="8">
        <f>IF(F9&gt;=0,$A9,0)</f>
        <v>46508</v>
      </c>
      <c r="J9" s="8">
        <f>IF(H9&gt;=0,$A9,0)</f>
        <v>0</v>
      </c>
    </row>
    <row r="10">
      <c r="A10" s="8" t="n">
        <v>46539</v>
      </c>
      <c r="B10" s="9">
        <f>INDEX('Продажи'!$H$5:$H$16,MONTH($A10))</f>
        <v>1013220</v>
      </c>
      <c r="C10" s="9">
        <f>INDEX('Расходы'!$L$5:$L$16,MONTH($A10))</f>
        <v>956749.36</v>
      </c>
      <c r="D10" s="9">
        <f>INDEX('Продажи'!$J$5:$J$16,MONTH($A10))</f>
        <v>0</v>
      </c>
      <c r="E10" s="9">
        <f>MAX((B10-D10)*УСН_ставка-INDEX('Расходы'!$H$5:$H$16,MONTH($A10)),(B10-D10)*УСН_ставка*(1-Вычет_лимит))</f>
        <v>30396.6</v>
      </c>
      <c r="F10" s="9">
        <f>B10-C10-D10-E10</f>
        <v>26074.0399999999</v>
      </c>
      <c r="G10" s="9">
        <f>G9+F10</f>
        <v>-153610.44</v>
      </c>
      <c r="H10" s="9">
        <f>G10-Старт_всего</f>
        <v>-2810610.44</v>
      </c>
      <c r="I10" s="8">
        <f>IF(F10&gt;=0,$A10,0)</f>
        <v>46539</v>
      </c>
      <c r="J10" s="8">
        <f>IF(H10&gt;=0,$A10,0)</f>
        <v>0</v>
      </c>
    </row>
    <row r="11">
      <c r="A11" s="8" t="n">
        <v>46569</v>
      </c>
      <c r="B11" s="9">
        <f>INDEX('Продажи'!$H$5:$H$16,MONTH($A11))</f>
        <v>1021605</v>
      </c>
      <c r="C11" s="9">
        <f>INDEX('Расходы'!$L$5:$L$16,MONTH($A11))</f>
        <v>960002.74</v>
      </c>
      <c r="D11" s="9">
        <f>INDEX('Продажи'!$J$5:$J$16,MONTH($A11))</f>
        <v>0</v>
      </c>
      <c r="E11" s="9">
        <f>MAX((B11-D11)*УСН_ставка-INDEX('Расходы'!$H$5:$H$16,MONTH($A11)),(B11-D11)*УСН_ставка*(1-Вычет_лимит))</f>
        <v>30648.15</v>
      </c>
      <c r="F11" s="9">
        <f>B11-C11-D11-E11</f>
        <v>30954.11</v>
      </c>
      <c r="G11" s="9">
        <f>G10+F11</f>
        <v>-122656.33</v>
      </c>
      <c r="H11" s="9">
        <f>G11-Старт_всего</f>
        <v>-2779656.33</v>
      </c>
      <c r="I11" s="8">
        <f>IF(F11&gt;=0,$A11,0)</f>
        <v>46569</v>
      </c>
      <c r="J11" s="8">
        <f>IF(H11&gt;=0,$A11,0)</f>
        <v>0</v>
      </c>
    </row>
    <row r="12">
      <c r="A12" s="8" t="n">
        <v>46600</v>
      </c>
      <c r="B12" s="9">
        <f>INDEX('Продажи'!$H$5:$H$16,MONTH($A12))</f>
        <v>1111071</v>
      </c>
      <c r="C12" s="9">
        <f>INDEX('Расходы'!$L$5:$L$16,MONTH($A12))</f>
        <v>994715.548</v>
      </c>
      <c r="D12" s="9">
        <f>INDEX('Продажи'!$J$5:$J$16,MONTH($A12))</f>
        <v>0</v>
      </c>
      <c r="E12" s="9">
        <f>MAX((B12-D12)*УСН_ставка-INDEX('Расходы'!$H$5:$H$16,MONTH($A12)),(B12-D12)*УСН_ставка*(1-Вычет_лимит))</f>
        <v>33332.13</v>
      </c>
      <c r="F12" s="9">
        <f>B12-C12-D12-E12</f>
        <v>83023.322</v>
      </c>
      <c r="G12" s="9">
        <f>G11+F12</f>
        <v>-39633.0080000002</v>
      </c>
      <c r="H12" s="9">
        <f>G12-Старт_всего</f>
        <v>-2696633.008</v>
      </c>
      <c r="I12" s="8">
        <f>IF(F12&gt;=0,$A12,0)</f>
        <v>46600</v>
      </c>
      <c r="J12" s="8">
        <f>IF(H12&gt;=0,$A12,0)</f>
        <v>0</v>
      </c>
    </row>
    <row r="13">
      <c r="A13" s="8" t="n">
        <v>46631</v>
      </c>
      <c r="B13" s="9">
        <f>INDEX('Продажи'!$H$5:$H$16,MONTH($A13))</f>
        <v>1258920</v>
      </c>
      <c r="C13" s="9">
        <f>INDEX('Расходы'!$L$5:$L$16,MONTH($A13))</f>
        <v>1052080.96</v>
      </c>
      <c r="D13" s="9">
        <f>INDEX('Продажи'!$J$5:$J$16,MONTH($A13))</f>
        <v>0</v>
      </c>
      <c r="E13" s="9">
        <f>MAX((B13-D13)*УСН_ставка-INDEX('Расходы'!$H$5:$H$16,MONTH($A13)),(B13-D13)*УСН_ставка*(1-Вычет_лимит))</f>
        <v>37767.6</v>
      </c>
      <c r="F13" s="9">
        <f>B13-C13-D13-E13</f>
        <v>169071.44</v>
      </c>
      <c r="G13" s="9">
        <f>G12+F13</f>
        <v>129438.432</v>
      </c>
      <c r="H13" s="9">
        <f>G13-Старт_всего</f>
        <v>-2527561.568</v>
      </c>
      <c r="I13" s="8">
        <f>IF(F13&gt;=0,$A13,0)</f>
        <v>46631</v>
      </c>
      <c r="J13" s="8">
        <f>IF(H13&gt;=0,$A13,0)</f>
        <v>0</v>
      </c>
    </row>
    <row r="14">
      <c r="A14" s="8" t="n">
        <v>46661</v>
      </c>
      <c r="B14" s="9">
        <f>INDEX('Продажи'!$H$5:$H$16,MONTH($A14))</f>
        <v>1364961</v>
      </c>
      <c r="C14" s="9">
        <f>INDEX('Расходы'!$L$5:$L$16,MONTH($A14))</f>
        <v>1093224.868</v>
      </c>
      <c r="D14" s="9">
        <f>INDEX('Продажи'!$J$5:$J$16,MONTH($A14))</f>
        <v>0</v>
      </c>
      <c r="E14" s="9">
        <f>MAX((B14-D14)*УСН_ставка-INDEX('Расходы'!$H$5:$H$16,MONTH($A14)),(B14-D14)*УСН_ставка*(1-Вычет_лимит))</f>
        <v>40948.83</v>
      </c>
      <c r="F14" s="9">
        <f>B14-C14-D14-E14</f>
        <v>230787.302</v>
      </c>
      <c r="G14" s="9">
        <f>G13+F14</f>
        <v>360225.734</v>
      </c>
      <c r="H14" s="9">
        <f>G14-Старт_всего</f>
        <v>-2296774.266</v>
      </c>
      <c r="I14" s="8">
        <f>IF(F14&gt;=0,$A14,0)</f>
        <v>46661</v>
      </c>
      <c r="J14" s="8">
        <f>IF(H14&gt;=0,$A14,0)</f>
        <v>0</v>
      </c>
    </row>
    <row r="15">
      <c r="A15" s="8" t="n">
        <v>46692</v>
      </c>
      <c r="B15" s="9">
        <f>INDEX('Продажи'!$H$5:$H$16,MONTH($A15))</f>
        <v>1360710</v>
      </c>
      <c r="C15" s="9">
        <f>INDEX('Расходы'!$L$5:$L$16,MONTH($A15))</f>
        <v>1091575.48</v>
      </c>
      <c r="D15" s="9">
        <f>INDEX('Продажи'!$J$5:$J$16,MONTH($A15))</f>
        <v>0</v>
      </c>
      <c r="E15" s="9">
        <f>MAX((B15-D15)*УСН_ставка-INDEX('Расходы'!$H$5:$H$16,MONTH($A15)),(B15-D15)*УСН_ставка*(1-Вычет_лимит))</f>
        <v>40821.3</v>
      </c>
      <c r="F15" s="9">
        <f>B15-C15-D15-E15</f>
        <v>228313.22</v>
      </c>
      <c r="G15" s="9">
        <f>G14+F15</f>
        <v>588538.954</v>
      </c>
      <c r="H15" s="9">
        <f>G15-Старт_всего</f>
        <v>-2068461.046</v>
      </c>
      <c r="I15" s="8">
        <f>IF(F15&gt;=0,$A15,0)</f>
        <v>46692</v>
      </c>
      <c r="J15" s="8">
        <f>IF(H15&gt;=0,$A15,0)</f>
        <v>0</v>
      </c>
    </row>
    <row r="16">
      <c r="A16" s="8" t="n">
        <v>46722</v>
      </c>
      <c r="B16" s="9">
        <f>INDEX('Продажи'!$H$5:$H$16,MONTH($A16))</f>
        <v>1513668</v>
      </c>
      <c r="C16" s="9">
        <f>INDEX('Расходы'!$L$5:$L$16,MONTH($A16))</f>
        <v>1150923.184</v>
      </c>
      <c r="D16" s="9">
        <f>INDEX('Продажи'!$J$5:$J$16,MONTH($A16))</f>
        <v>0</v>
      </c>
      <c r="E16" s="9">
        <f>MAX((B16-D16)*УСН_ставка-INDEX('Расходы'!$H$5:$H$16,MONTH($A16)),(B16-D16)*УСН_ставка*(1-Вычет_лимит))</f>
        <v>45410.04</v>
      </c>
      <c r="F16" s="9">
        <f>B16-C16-D16-E16</f>
        <v>317334.776</v>
      </c>
      <c r="G16" s="9">
        <f>G15+F16</f>
        <v>905873.73</v>
      </c>
      <c r="H16" s="9">
        <f>G16-Старт_всего</f>
        <v>-1751126.27</v>
      </c>
      <c r="I16" s="8">
        <f>IF(F16&gt;=0,$A16,0)</f>
        <v>46722</v>
      </c>
      <c r="J16" s="8">
        <f>IF(H16&gt;=0,$A16,0)</f>
        <v>0</v>
      </c>
    </row>
  </sheetData>
  <mergeCells count="2">
    <mergeCell ref="A1:J1"/>
    <mergeCell ref="A2:J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0" tabSelected="0" workbookViewId="0">
      <selection activeCell="A1" sqref="A1"/>
    </sheetView>
  </sheetViews>
  <sheetFormatPr baseColWidth="8" defaultRowHeight="15" outlineLevelCol="0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9" customWidth="1" min="7" max="7"/>
    <col width="17" customWidth="1" min="8" max="8"/>
    <col width="19" customWidth="1" min="9" max="9"/>
  </cols>
  <sheetData>
    <row r="1" ht="26" customHeight="1">
      <c r="A1" s="1" t="inlineStr">
        <is>
          <t>Деньги и налоговый резерв</t>
        </is>
      </c>
    </row>
    <row r="2" ht="16" customHeight="1">
      <c r="A2" s="2" t="inlineStr">
        <is>
          <t>УСН: авансы в апреле, июле, октябре; остаток за год в 2028 году. НДС: по 1/3 прошлого квартала ежемесячно.</t>
        </is>
      </c>
      <c r="L2">
        <f>Старт_всего+MAX(0,-MIN('Прибыль'!$G$5:$G$16))+Денежная_подушка</f>
        <v>3208466.33</v>
      </c>
    </row>
    <row r="3"/>
    <row r="4">
      <c r="A4" s="6" t="inlineStr">
        <is>
          <t>Месяц</t>
        </is>
      </c>
      <c r="B4" s="7" t="inlineStr">
        <is>
          <t>Поступления</t>
        </is>
      </c>
      <c r="C4" s="7" t="inlineStr">
        <is>
          <t>Расходы</t>
        </is>
      </c>
      <c r="D4" s="7" t="inlineStr">
        <is>
          <t>УСН уплачен</t>
        </is>
      </c>
      <c r="E4" s="7" t="inlineStr">
        <is>
          <t>НДС уплачен</t>
        </is>
      </c>
      <c r="F4" s="7" t="inlineStr">
        <is>
          <t>Поток</t>
        </is>
      </c>
      <c r="G4" s="7" t="inlineStr">
        <is>
          <t>Остаток на счёте</t>
        </is>
      </c>
      <c r="H4" s="7" t="inlineStr">
        <is>
          <t>Резерв налогов</t>
        </is>
      </c>
      <c r="I4" s="7" t="inlineStr">
        <is>
          <t>Свободные деньги</t>
        </is>
      </c>
    </row>
    <row r="5">
      <c r="A5" s="8" t="n">
        <v>46388</v>
      </c>
      <c r="B5" s="9">
        <f>INDEX('Продажи'!$H$5:$H$16,MONTH($A5))</f>
        <v>785850</v>
      </c>
      <c r="C5" s="9">
        <f>INDEX('Расходы'!$L$5:$L$16,MONTH($A5))</f>
        <v>868529.8</v>
      </c>
      <c r="D5" s="9">
        <f>0</f>
        <v>0</v>
      </c>
      <c r="E5" s="9">
        <f>0</f>
        <v>0</v>
      </c>
      <c r="F5" s="9">
        <f>B5-C5-D5-E5</f>
        <v>-82679.8000000001</v>
      </c>
      <c r="G5" s="9">
        <f>Нужно_денег-Старт_всего+F5</f>
        <v>468786.53</v>
      </c>
      <c r="H5" s="9">
        <f>0+INDEX('Прибыль'!$E$5:$E$16,MONTH($A5))+INDEX('Продажи'!$J$5:$J$16,MONTH($A5))-D5-E5</f>
        <v>23575.5</v>
      </c>
      <c r="I5" s="9">
        <f>G5-H5</f>
        <v>445211.03</v>
      </c>
    </row>
    <row r="6">
      <c r="A6" s="8" t="n">
        <v>46419</v>
      </c>
      <c r="B6" s="9">
        <f>INDEX('Продажи'!$H$5:$H$16,MONTH($A6))</f>
        <v>760032</v>
      </c>
      <c r="C6" s="9">
        <f>INDEX('Расходы'!$L$5:$L$16,MONTH($A6))</f>
        <v>858512.416</v>
      </c>
      <c r="D6" s="9">
        <f>0</f>
        <v>0</v>
      </c>
      <c r="E6" s="9">
        <f>0</f>
        <v>0</v>
      </c>
      <c r="F6" s="9">
        <f>B6-C6-D6-E6</f>
        <v>-98480.4160000001</v>
      </c>
      <c r="G6" s="9">
        <f>G5+F6</f>
        <v>370306.114</v>
      </c>
      <c r="H6" s="9">
        <f>H5+INDEX('Прибыль'!$E$5:$E$16,MONTH($A6))+INDEX('Продажи'!$J$5:$J$16,MONTH($A6))-D6-E6</f>
        <v>46376.46</v>
      </c>
      <c r="I6" s="9">
        <f>G6-H6</f>
        <v>323929.654</v>
      </c>
    </row>
    <row r="7">
      <c r="A7" s="8" t="n">
        <v>46447</v>
      </c>
      <c r="B7" s="9">
        <f>INDEX('Продажи'!$H$5:$H$16,MONTH($A7))</f>
        <v>927303</v>
      </c>
      <c r="C7" s="9">
        <f>INDEX('Расходы'!$L$5:$L$16,MONTH($A7))</f>
        <v>923413.564</v>
      </c>
      <c r="D7" s="9">
        <f>0</f>
        <v>0</v>
      </c>
      <c r="E7" s="9">
        <f>0</f>
        <v>0</v>
      </c>
      <c r="F7" s="9">
        <f>B7-C7-D7-E7</f>
        <v>3889.4360000001</v>
      </c>
      <c r="G7" s="9">
        <f>G6+F7</f>
        <v>374195.55</v>
      </c>
      <c r="H7" s="9">
        <f>H6+INDEX('Прибыль'!$E$5:$E$16,MONTH($A7))+INDEX('Продажи'!$J$5:$J$16,MONTH($A7))-D7-E7</f>
        <v>74195.55</v>
      </c>
      <c r="I7" s="9">
        <f>G7-H7</f>
        <v>300000</v>
      </c>
    </row>
    <row r="8">
      <c r="A8" s="8" t="n">
        <v>46478</v>
      </c>
      <c r="B8" s="9">
        <f>INDEX('Продажи'!$H$5:$H$16,MONTH($A8))</f>
        <v>978120</v>
      </c>
      <c r="C8" s="9">
        <f>INDEX('Расходы'!$L$5:$L$16,MONTH($A8))</f>
        <v>943130.56</v>
      </c>
      <c r="D8" s="9">
        <f>INDEX('Прибыль'!$E$5:$E$16,1)+INDEX('Прибыль'!$E$5:$E$16,2)+INDEX('Прибыль'!$E$5:$E$16,3)</f>
        <v>74195.55</v>
      </c>
      <c r="E8" s="9">
        <f>(INDEX('Продажи'!$J$5:$J$16,1)+INDEX('Продажи'!$J$5:$J$16,2)+INDEX('Продажи'!$J$5:$J$16,3))/3</f>
        <v>0</v>
      </c>
      <c r="F8" s="9">
        <f>B8-C8-D8-E8</f>
        <v>-39206.11</v>
      </c>
      <c r="G8" s="9">
        <f>G7+F8</f>
        <v>334989.44</v>
      </c>
      <c r="H8" s="9">
        <f>H7+INDEX('Прибыль'!$E$5:$E$16,MONTH($A8))+INDEX('Продажи'!$J$5:$J$16,MONTH($A8))-D8-E8</f>
        <v>29343.6</v>
      </c>
      <c r="I8" s="9">
        <f>G8-H8</f>
        <v>305645.84</v>
      </c>
    </row>
    <row r="9">
      <c r="A9" s="8" t="n">
        <v>46508</v>
      </c>
      <c r="B9" s="9">
        <f>INDEX('Продажи'!$H$5:$H$16,MONTH($A9))</f>
        <v>1082055</v>
      </c>
      <c r="C9" s="9">
        <f>INDEX('Расходы'!$L$5:$L$16,MONTH($A9))</f>
        <v>983457.34</v>
      </c>
      <c r="D9" s="9">
        <f>0</f>
        <v>0</v>
      </c>
      <c r="E9" s="9">
        <f>(INDEX('Продажи'!$J$5:$J$16,1)+INDEX('Продажи'!$J$5:$J$16,2)+INDEX('Продажи'!$J$5:$J$16,3))/3</f>
        <v>0</v>
      </c>
      <c r="F9" s="9">
        <f>B9-C9-D9-E9</f>
        <v>98597.6599999999</v>
      </c>
      <c r="G9" s="9">
        <f>G8+F9</f>
        <v>433587.1</v>
      </c>
      <c r="H9" s="9">
        <f>H8+INDEX('Прибыль'!$E$5:$E$16,MONTH($A9))+INDEX('Продажи'!$J$5:$J$16,MONTH($A9))-D9-E9</f>
        <v>61805.25</v>
      </c>
      <c r="I9" s="9">
        <f>G9-H9</f>
        <v>371781.85</v>
      </c>
    </row>
    <row r="10">
      <c r="A10" s="8" t="n">
        <v>46539</v>
      </c>
      <c r="B10" s="9">
        <f>INDEX('Продажи'!$H$5:$H$16,MONTH($A10))</f>
        <v>1013220</v>
      </c>
      <c r="C10" s="9">
        <f>INDEX('Расходы'!$L$5:$L$16,MONTH($A10))</f>
        <v>956749.36</v>
      </c>
      <c r="D10" s="9">
        <f>0</f>
        <v>0</v>
      </c>
      <c r="E10" s="9">
        <f>(INDEX('Продажи'!$J$5:$J$16,1)+INDEX('Продажи'!$J$5:$J$16,2)+INDEX('Продажи'!$J$5:$J$16,3))/3</f>
        <v>0</v>
      </c>
      <c r="F10" s="9">
        <f>B10-C10-D10-E10</f>
        <v>56470.6399999999</v>
      </c>
      <c r="G10" s="9">
        <f>G9+F10</f>
        <v>490057.74</v>
      </c>
      <c r="H10" s="9">
        <f>H9+INDEX('Прибыль'!$E$5:$E$16,MONTH($A10))+INDEX('Продажи'!$J$5:$J$16,MONTH($A10))-D10-E10</f>
        <v>92201.85</v>
      </c>
      <c r="I10" s="9">
        <f>G10-H10</f>
        <v>397855.89</v>
      </c>
    </row>
    <row r="11">
      <c r="A11" s="8" t="n">
        <v>46569</v>
      </c>
      <c r="B11" s="9">
        <f>INDEX('Продажи'!$H$5:$H$16,MONTH($A11))</f>
        <v>1021605</v>
      </c>
      <c r="C11" s="9">
        <f>INDEX('Расходы'!$L$5:$L$16,MONTH($A11))</f>
        <v>960002.74</v>
      </c>
      <c r="D11" s="9">
        <f>INDEX('Прибыль'!$E$5:$E$16,4)+INDEX('Прибыль'!$E$5:$E$16,5)+INDEX('Прибыль'!$E$5:$E$16,6)</f>
        <v>92201.85</v>
      </c>
      <c r="E11" s="9">
        <f>(INDEX('Продажи'!$J$5:$J$16,4)+INDEX('Продажи'!$J$5:$J$16,5)+INDEX('Продажи'!$J$5:$J$16,6))/3</f>
        <v>0</v>
      </c>
      <c r="F11" s="9">
        <f>B11-C11-D11-E11</f>
        <v>-30599.59</v>
      </c>
      <c r="G11" s="9">
        <f>G10+F11</f>
        <v>459458.15</v>
      </c>
      <c r="H11" s="9">
        <f>H10+INDEX('Прибыль'!$E$5:$E$16,MONTH($A11))+INDEX('Продажи'!$J$5:$J$16,MONTH($A11))-D11-E11</f>
        <v>30648.15</v>
      </c>
      <c r="I11" s="9">
        <f>G11-H11</f>
        <v>428810</v>
      </c>
    </row>
    <row r="12">
      <c r="A12" s="8" t="n">
        <v>46600</v>
      </c>
      <c r="B12" s="9">
        <f>INDEX('Продажи'!$H$5:$H$16,MONTH($A12))</f>
        <v>1111071</v>
      </c>
      <c r="C12" s="9">
        <f>INDEX('Расходы'!$L$5:$L$16,MONTH($A12))</f>
        <v>994715.548</v>
      </c>
      <c r="D12" s="9">
        <f>0</f>
        <v>0</v>
      </c>
      <c r="E12" s="9">
        <f>(INDEX('Продажи'!$J$5:$J$16,4)+INDEX('Продажи'!$J$5:$J$16,5)+INDEX('Продажи'!$J$5:$J$16,6))/3</f>
        <v>0</v>
      </c>
      <c r="F12" s="9">
        <f>B12-C12-D12-E12</f>
        <v>116355.452</v>
      </c>
      <c r="G12" s="9">
        <f>G11+F12</f>
        <v>575813.602</v>
      </c>
      <c r="H12" s="9">
        <f>H11+INDEX('Прибыль'!$E$5:$E$16,MONTH($A12))+INDEX('Продажи'!$J$5:$J$16,MONTH($A12))-D12-E12</f>
        <v>63980.28</v>
      </c>
      <c r="I12" s="9">
        <f>G12-H12</f>
        <v>511833.322</v>
      </c>
    </row>
    <row r="13">
      <c r="A13" s="8" t="n">
        <v>46631</v>
      </c>
      <c r="B13" s="9">
        <f>INDEX('Продажи'!$H$5:$H$16,MONTH($A13))</f>
        <v>1258920</v>
      </c>
      <c r="C13" s="9">
        <f>INDEX('Расходы'!$L$5:$L$16,MONTH($A13))</f>
        <v>1052080.96</v>
      </c>
      <c r="D13" s="9">
        <f>0</f>
        <v>0</v>
      </c>
      <c r="E13" s="9">
        <f>(INDEX('Продажи'!$J$5:$J$16,4)+INDEX('Продажи'!$J$5:$J$16,5)+INDEX('Продажи'!$J$5:$J$16,6))/3</f>
        <v>0</v>
      </c>
      <c r="F13" s="9">
        <f>B13-C13-D13-E13</f>
        <v>206839.04</v>
      </c>
      <c r="G13" s="9">
        <f>G12+F13</f>
        <v>782652.642</v>
      </c>
      <c r="H13" s="9">
        <f>H12+INDEX('Прибыль'!$E$5:$E$16,MONTH($A13))+INDEX('Продажи'!$J$5:$J$16,MONTH($A13))-D13-E13</f>
        <v>101747.88</v>
      </c>
      <c r="I13" s="9">
        <f>G13-H13</f>
        <v>680904.762</v>
      </c>
    </row>
    <row r="14">
      <c r="A14" s="8" t="n">
        <v>46661</v>
      </c>
      <c r="B14" s="9">
        <f>INDEX('Продажи'!$H$5:$H$16,MONTH($A14))</f>
        <v>1364961</v>
      </c>
      <c r="C14" s="9">
        <f>INDEX('Расходы'!$L$5:$L$16,MONTH($A14))</f>
        <v>1093224.868</v>
      </c>
      <c r="D14" s="9">
        <f>INDEX('Прибыль'!$E$5:$E$16,7)+INDEX('Прибыль'!$E$5:$E$16,8)+INDEX('Прибыль'!$E$5:$E$16,9)</f>
        <v>101747.88</v>
      </c>
      <c r="E14" s="9">
        <f>(INDEX('Продажи'!$J$5:$J$16,7)+INDEX('Продажи'!$J$5:$J$16,8)+INDEX('Продажи'!$J$5:$J$16,9))/3</f>
        <v>0</v>
      </c>
      <c r="F14" s="9">
        <f>B14-C14-D14-E14</f>
        <v>169988.252</v>
      </c>
      <c r="G14" s="9">
        <f>G13+F14</f>
        <v>952640.894</v>
      </c>
      <c r="H14" s="9">
        <f>H13+INDEX('Прибыль'!$E$5:$E$16,MONTH($A14))+INDEX('Продажи'!$J$5:$J$16,MONTH($A14))-D14-E14</f>
        <v>40948.83</v>
      </c>
      <c r="I14" s="9">
        <f>G14-H14</f>
        <v>911692.064</v>
      </c>
    </row>
    <row r="15">
      <c r="A15" s="8" t="n">
        <v>46692</v>
      </c>
      <c r="B15" s="9">
        <f>INDEX('Продажи'!$H$5:$H$16,MONTH($A15))</f>
        <v>1360710</v>
      </c>
      <c r="C15" s="9">
        <f>INDEX('Расходы'!$L$5:$L$16,MONTH($A15))</f>
        <v>1091575.48</v>
      </c>
      <c r="D15" s="9">
        <f>0</f>
        <v>0</v>
      </c>
      <c r="E15" s="9">
        <f>(INDEX('Продажи'!$J$5:$J$16,7)+INDEX('Продажи'!$J$5:$J$16,8)+INDEX('Продажи'!$J$5:$J$16,9))/3</f>
        <v>0</v>
      </c>
      <c r="F15" s="9">
        <f>B15-C15-D15-E15</f>
        <v>269134.52</v>
      </c>
      <c r="G15" s="9">
        <f>G14+F15</f>
        <v>1221775.414</v>
      </c>
      <c r="H15" s="9">
        <f>H14+INDEX('Прибыль'!$E$5:$E$16,MONTH($A15))+INDEX('Продажи'!$J$5:$J$16,MONTH($A15))-D15-E15</f>
        <v>81770.13</v>
      </c>
      <c r="I15" s="9">
        <f>G15-H15</f>
        <v>1140005.284</v>
      </c>
    </row>
    <row r="16">
      <c r="A16" s="8" t="n">
        <v>46722</v>
      </c>
      <c r="B16" s="9">
        <f>INDEX('Продажи'!$H$5:$H$16,MONTH($A16))</f>
        <v>1513668</v>
      </c>
      <c r="C16" s="9">
        <f>INDEX('Расходы'!$L$5:$L$16,MONTH($A16))</f>
        <v>1150923.184</v>
      </c>
      <c r="D16" s="9">
        <f>0</f>
        <v>0</v>
      </c>
      <c r="E16" s="9">
        <f>(INDEX('Продажи'!$J$5:$J$16,7)+INDEX('Продажи'!$J$5:$J$16,8)+INDEX('Продажи'!$J$5:$J$16,9))/3</f>
        <v>0</v>
      </c>
      <c r="F16" s="9">
        <f>B16-C16-D16-E16</f>
        <v>362744.816</v>
      </c>
      <c r="G16" s="9">
        <f>G15+F16</f>
        <v>1584520.23</v>
      </c>
      <c r="H16" s="9">
        <f>H15+INDEX('Прибыль'!$E$5:$E$16,MONTH($A16))+INDEX('Продажи'!$J$5:$J$16,MONTH($A16))-D16-E16</f>
        <v>127180.17</v>
      </c>
      <c r="I16" s="9">
        <f>G16-H16</f>
        <v>1457340.06</v>
      </c>
    </row>
  </sheetData>
  <mergeCells count="2">
    <mergeCell ref="A1:I1"/>
    <mergeCell ref="A2:I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tabSelected="0" workbookViewId="0">
      <selection activeCell="A1" sqref="A1"/>
    </sheetView>
  </sheetViews>
  <sheetFormatPr baseColWidth="8" defaultRowHeight="15" outlineLevelCol="0"/>
  <cols>
    <col width="100" customWidth="1" min="1" max="1"/>
  </cols>
  <sheetData>
    <row r="1" ht="26" customHeight="1">
      <c r="A1" s="1" t="inlineStr">
        <is>
          <t>Понятная инструкция</t>
        </is>
      </c>
    </row>
    <row r="2" ht="16" customHeight="1">
      <c r="A2" s="2" t="inlineStr">
        <is>
          <t>Модель бизнеса, а не бухгалтерская отчётность</t>
        </is>
      </c>
    </row>
    <row r="3"/>
    <row r="4" ht="20" customHeight="1">
      <c r="A4" s="12" t="inlineStr">
        <is>
          <t>Начните здесь</t>
        </is>
      </c>
    </row>
    <row r="5" ht="15" customHeight="1">
      <c r="A5" s="13" t="inlineStr">
        <is>
          <t>1. На листе «Вводные» меняйте синие ячейки. Начните со среднего чека, гостей, аренды и окладов.</t>
        </is>
      </c>
    </row>
    <row r="6" ht="15" customHeight="1">
      <c r="A6" s="13" t="inlineStr">
        <is>
          <t>2. «Итоги» покажет прибыль и оба выхода в ноль.</t>
        </is>
      </c>
    </row>
    <row r="7" ht="15" customHeight="1">
      <c r="A7" s="13" t="inlineStr">
        <is>
          <t>3. «Продажи», «Расходы», «Прибыль» раскрывают расчёты по месяцам.</t>
        </is>
      </c>
    </row>
    <row r="8" ht="15" customHeight="1">
      <c r="A8" s="13" t="inlineStr">
        <is>
          <t>4. «Деньги» показывает счёт и сумму, которую нельзя тратить: резерв будущих налогов.</t>
        </is>
      </c>
    </row>
    <row r="9" ht="15" customHeight="1">
      <c r="A9" s="13" t="inlineStr">
        <is>
          <t>5. «Запуск» — смета до открытия. Формулы на других листах не заменяйте числами.</t>
        </is>
      </c>
    </row>
    <row r="10"/>
    <row r="11" ht="20" customHeight="1">
      <c r="A11" s="12" t="inlineStr">
        <is>
          <t>Как устроена маленькая пекарня</t>
        </is>
      </c>
    </row>
    <row r="12" ht="60" customHeight="1">
      <c r="A12" s="13" t="inlineStr">
        <is>
          <t>Около 60 м², ограниченный ассортимент, часть изделий из полуфабрикатов. Два бариста и два пекаря в сменном графике; основателейы управляют и закрывают подмены, уборку и закупки. При полном цикле производства, длинных сменах или отсутствии подмен понадобится больше персонала. В бюджет включена зарплата обоих основателей до НДФЛ; это не выплата дивидендов.</t>
        </is>
      </c>
    </row>
    <row r="13"/>
    <row r="14" ht="20" customHeight="1">
      <c r="A14" s="12" t="inlineStr">
        <is>
          <t>Налоги простыми словами</t>
        </is>
      </c>
    </row>
    <row r="15" ht="75" customHeight="1">
      <c r="A15" s="13" t="inlineStr">
        <is>
          <t>База — новое ООО на УСН «Доходы»: 6 % выручки без НДС, уменьшение на страховые взносы, но не более 50 % налога. Взносы в модели оплачены в месяце начисления. УСН начисляется ежемесячно для оценки прибыли, авансы оплачиваются поквартально; остаток за год остаётся в резерве на конец декабря. Реальные сроки зарплат, взносов, НДФЛ и праздники здесь не моделируются по дням. Для ИП потребуется добавить личные взносы, а один ИП не даёт партнёру долю в бизнесе.</t>
        </is>
      </c>
    </row>
    <row r="16"/>
    <row r="17" ht="20" customHeight="1">
      <c r="A17" s="12" t="inlineStr">
        <is>
          <t>Если средний чек сильно вырастет</t>
        </is>
      </c>
    </row>
    <row r="18" ht="60" customHeight="1">
      <c r="A18" s="13" t="inlineStr">
        <is>
          <t>При превышении порога 15 млн ₽ в течение 2027 года включается НДС 5/105 внутри конечной цены со следующего месяца. Это консервативная модель без льготы общепита. Льготу, другие ставки и лимиты подтвердите с бухгалтером: переключатель «Льгота_общепит» включайте только после проверки. Модель не рассчитана на верхние лимиты УСН или переход на НДС 7 %. Правила 2028 года и дальнейшая окупаемость за пределами горизонта не прогнозируются.</t>
        </is>
      </c>
    </row>
    <row r="19"/>
    <row r="20" ht="20" customHeight="1">
      <c r="A20" s="12" t="inlineStr">
        <is>
          <t>Границы прибыли</t>
        </is>
      </c>
    </row>
    <row r="21" ht="60" customHeight="1">
      <c r="A21" s="13" t="inlineStr">
        <is>
          <t>Это управленческий денежный результат после начисленных налогов, до амортизации. Не бухгалтерская чистая прибыль и не сумма для дивидендов. Продукты закупаются и расходуются в том же месяце; постоянный стартовый остаток остаётся в обороте. Нет кредита, рассрочки, ремонта после открытия, доставки через агрегаторов и налогов с дивидендов. Аренда до открытия включена в смету ремонта условно: при длительном ремонте увеличьте смету.</t>
        </is>
      </c>
    </row>
    <row r="22"/>
    <row r="23" ht="20" customHeight="1">
      <c r="A23" s="12" t="inlineStr">
        <is>
          <t>Источники и степень уверенности</t>
        </is>
      </c>
    </row>
    <row r="24" ht="15" customHeight="1">
      <c r="A24" s="13" t="inlineStr">
        <is>
          <t>Проверено 17.10.2026. Все цифры — допущения для проверки жизнеспособности, не оферты.</t>
        </is>
      </c>
    </row>
    <row r="25" ht="30" customHeight="1">
      <c r="A25" s="13" t="inlineStr">
        <is>
          <t>Аренда: объявление 60–123 м², 1 500 ₽/м² в ЖК «Экопарк Дубрава» (пригодность под пищевое производство не подтверждена): https://www.avito.ru/kazan/kommercheskaya_nedvizhimost?q=аренда+60+кв</t>
        </is>
      </c>
    </row>
    <row r="26" ht="30" customHeight="1">
      <c r="A26" s="13" t="inlineStr">
        <is>
          <t>Зарплата пекаря: выдача HH, 62 500–66 500 ₽ до налогов: https://kazan.hh.ru/vacancies/pekar/ot_pryamih_rabotodateley</t>
        </is>
      </c>
    </row>
    <row r="27" ht="15" customHeight="1">
      <c r="A27" s="13" t="inlineStr">
        <is>
          <t>Бариста: https://kazan.hh.ru/vacancies/barista-v-kofejnyu (оклад 55 000 ₽ — наше допущение).</t>
        </is>
      </c>
    </row>
    <row r="28" ht="15" customHeight="1">
      <c r="A28" s="13" t="inlineStr">
        <is>
          <t>НДС и порог 2027: ФНС https://www.nalog.gov.ru/rn77/taxation/taxes/nds_usn/</t>
        </is>
      </c>
    </row>
    <row r="29" ht="30" customHeight="1">
      <c r="A29" s="13" t="inlineStr">
        <is>
          <t>Чек, посещаемость, сезонность, смета и себестоимость — авторские оценки; уточните трафик у выбранной двери, меню, техкарты и коммерческие предложения.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Пекарня-кофейня · Казань</dc:title>
  <dcterms:created xmlns:dcterms="http://purl.org/dc/terms/" xmlns:xsi="http://www.w3.org/2001/XMLSchema-instance" xsi:type="dcterms:W3CDTF">2026-10-17T14:15:23Z</dcterms:created>
  <dcterms:modified xmlns:dcterms="http://purl.org/dc/terms/" xmlns:xsi="http://www.w3.org/2001/XMLSchema-instance" xsi:type="dcterms:W3CDTF">2026-10-17T14:19:32Z</dcterms:modified>
</cp:coreProperties>
</file>